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eisson\MIN. DEPORTE\2021\Informes\Informes mensuales ejecucion\10_Octubre\"/>
    </mc:Choice>
  </mc:AlternateContent>
  <xr:revisionPtr revIDLastSave="0" documentId="13_ncr:1_{3CF0AB8E-1B59-44D2-BE36-6DDB987DA90F}" xr6:coauthVersionLast="47" xr6:coauthVersionMax="47" xr10:uidLastSave="{00000000-0000-0000-0000-000000000000}"/>
  <bookViews>
    <workbookView xWindow="-120" yWindow="-120" windowWidth="20730" windowHeight="11160" xr2:uid="{0EA101DB-CED7-48D6-A6C1-2A67E03A084C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2" i="1" l="1"/>
  <c r="Q140" i="1" s="1"/>
  <c r="X141" i="1"/>
  <c r="Q141" i="1"/>
  <c r="W140" i="1"/>
  <c r="W135" i="1" s="1"/>
  <c r="W134" i="1" s="1"/>
  <c r="V140" i="1"/>
  <c r="U140" i="1"/>
  <c r="T140" i="1"/>
  <c r="X140" i="1" s="1"/>
  <c r="S140" i="1"/>
  <c r="R140" i="1"/>
  <c r="P140" i="1"/>
  <c r="O140" i="1"/>
  <c r="N140" i="1"/>
  <c r="M140" i="1"/>
  <c r="L140" i="1"/>
  <c r="X139" i="1"/>
  <c r="Q139" i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Q137" i="1"/>
  <c r="X137" i="1" s="1"/>
  <c r="W136" i="1"/>
  <c r="V136" i="1"/>
  <c r="U136" i="1"/>
  <c r="U135" i="1" s="1"/>
  <c r="U134" i="1" s="1"/>
  <c r="T136" i="1"/>
  <c r="S136" i="1"/>
  <c r="R136" i="1"/>
  <c r="R135" i="1" s="1"/>
  <c r="R134" i="1" s="1"/>
  <c r="R76" i="1" s="1"/>
  <c r="Q136" i="1"/>
  <c r="Q135" i="1" s="1"/>
  <c r="Q134" i="1" s="1"/>
  <c r="P136" i="1"/>
  <c r="P135" i="1" s="1"/>
  <c r="O136" i="1"/>
  <c r="N136" i="1"/>
  <c r="M136" i="1"/>
  <c r="M135" i="1" s="1"/>
  <c r="M134" i="1" s="1"/>
  <c r="L136" i="1"/>
  <c r="L135" i="1" s="1"/>
  <c r="L134" i="1" s="1"/>
  <c r="V135" i="1"/>
  <c r="V134" i="1" s="1"/>
  <c r="S135" i="1"/>
  <c r="O135" i="1"/>
  <c r="N135" i="1"/>
  <c r="N134" i="1" s="1"/>
  <c r="S134" i="1"/>
  <c r="P134" i="1"/>
  <c r="O134" i="1"/>
  <c r="X133" i="1"/>
  <c r="Q133" i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X131" i="1"/>
  <c r="Q131" i="1"/>
  <c r="X130" i="1"/>
  <c r="Q130" i="1"/>
  <c r="Q129" i="1"/>
  <c r="X129" i="1" s="1"/>
  <c r="W128" i="1"/>
  <c r="V128" i="1"/>
  <c r="U128" i="1"/>
  <c r="T128" i="1"/>
  <c r="S128" i="1"/>
  <c r="R128" i="1"/>
  <c r="Q128" i="1"/>
  <c r="P128" i="1"/>
  <c r="O128" i="1"/>
  <c r="N128" i="1"/>
  <c r="M128" i="1"/>
  <c r="L128" i="1"/>
  <c r="Q127" i="1"/>
  <c r="X127" i="1" s="1"/>
  <c r="X126" i="1"/>
  <c r="Q126" i="1"/>
  <c r="Q125" i="1"/>
  <c r="X125" i="1" s="1"/>
  <c r="W124" i="1"/>
  <c r="V124" i="1"/>
  <c r="U124" i="1"/>
  <c r="T124" i="1"/>
  <c r="S124" i="1"/>
  <c r="R124" i="1"/>
  <c r="P124" i="1"/>
  <c r="O124" i="1"/>
  <c r="N124" i="1"/>
  <c r="M124" i="1"/>
  <c r="L124" i="1"/>
  <c r="Q123" i="1"/>
  <c r="M123" i="1"/>
  <c r="Q122" i="1"/>
  <c r="Q121" i="1" s="1"/>
  <c r="N122" i="1"/>
  <c r="W121" i="1"/>
  <c r="V121" i="1"/>
  <c r="U121" i="1"/>
  <c r="T121" i="1"/>
  <c r="S121" i="1"/>
  <c r="R121" i="1"/>
  <c r="P121" i="1"/>
  <c r="O121" i="1"/>
  <c r="N121" i="1"/>
  <c r="M121" i="1"/>
  <c r="L121" i="1"/>
  <c r="X120" i="1"/>
  <c r="Q120" i="1"/>
  <c r="N120" i="1"/>
  <c r="Q119" i="1"/>
  <c r="X119" i="1" s="1"/>
  <c r="M119" i="1"/>
  <c r="W118" i="1"/>
  <c r="V118" i="1"/>
  <c r="U118" i="1"/>
  <c r="T118" i="1"/>
  <c r="S118" i="1"/>
  <c r="R118" i="1"/>
  <c r="Q118" i="1"/>
  <c r="P118" i="1"/>
  <c r="O118" i="1"/>
  <c r="N118" i="1"/>
  <c r="M118" i="1"/>
  <c r="L118" i="1"/>
  <c r="Q117" i="1"/>
  <c r="X117" i="1" s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N115" i="1"/>
  <c r="M115" i="1"/>
  <c r="X114" i="1"/>
  <c r="Q114" i="1"/>
  <c r="X113" i="1"/>
  <c r="Q113" i="1"/>
  <c r="M113" i="1"/>
  <c r="N112" i="1"/>
  <c r="N110" i="1" s="1"/>
  <c r="X111" i="1"/>
  <c r="Q111" i="1"/>
  <c r="W110" i="1"/>
  <c r="W99" i="1" s="1"/>
  <c r="W98" i="1" s="1"/>
  <c r="V110" i="1"/>
  <c r="U110" i="1"/>
  <c r="T110" i="1"/>
  <c r="S110" i="1"/>
  <c r="R110" i="1"/>
  <c r="P110" i="1"/>
  <c r="O110" i="1"/>
  <c r="L110" i="1"/>
  <c r="N109" i="1"/>
  <c r="M109" i="1"/>
  <c r="Q109" i="1" s="1"/>
  <c r="X109" i="1" s="1"/>
  <c r="X108" i="1"/>
  <c r="Q108" i="1"/>
  <c r="M108" i="1"/>
  <c r="Q107" i="1"/>
  <c r="X107" i="1" s="1"/>
  <c r="M107" i="1"/>
  <c r="N106" i="1"/>
  <c r="Q106" i="1" s="1"/>
  <c r="W105" i="1"/>
  <c r="V105" i="1"/>
  <c r="U105" i="1"/>
  <c r="T105" i="1"/>
  <c r="S105" i="1"/>
  <c r="R105" i="1"/>
  <c r="P105" i="1"/>
  <c r="O105" i="1"/>
  <c r="N105" i="1"/>
  <c r="M105" i="1"/>
  <c r="L105" i="1"/>
  <c r="Q104" i="1"/>
  <c r="X104" i="1" s="1"/>
  <c r="W103" i="1"/>
  <c r="V103" i="1"/>
  <c r="U103" i="1"/>
  <c r="T103" i="1"/>
  <c r="X103" i="1" s="1"/>
  <c r="S103" i="1"/>
  <c r="R103" i="1"/>
  <c r="Q103" i="1"/>
  <c r="P103" i="1"/>
  <c r="O103" i="1"/>
  <c r="N103" i="1"/>
  <c r="M103" i="1"/>
  <c r="L103" i="1"/>
  <c r="P102" i="1"/>
  <c r="X101" i="1"/>
  <c r="Q101" i="1"/>
  <c r="W100" i="1"/>
  <c r="V100" i="1"/>
  <c r="U100" i="1"/>
  <c r="U99" i="1" s="1"/>
  <c r="U98" i="1" s="1"/>
  <c r="T100" i="1"/>
  <c r="S100" i="1"/>
  <c r="R100" i="1"/>
  <c r="O100" i="1"/>
  <c r="N100" i="1"/>
  <c r="M100" i="1"/>
  <c r="L100" i="1"/>
  <c r="V99" i="1"/>
  <c r="V98" i="1" s="1"/>
  <c r="T99" i="1"/>
  <c r="S99" i="1"/>
  <c r="S98" i="1" s="1"/>
  <c r="R99" i="1"/>
  <c r="R98" i="1" s="1"/>
  <c r="O99" i="1"/>
  <c r="O98" i="1" s="1"/>
  <c r="N99" i="1"/>
  <c r="N98" i="1" s="1"/>
  <c r="L99" i="1"/>
  <c r="L98" i="1"/>
  <c r="X97" i="1"/>
  <c r="Q97" i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X95" i="1"/>
  <c r="Q95" i="1"/>
  <c r="Q94" i="1"/>
  <c r="X94" i="1" s="1"/>
  <c r="Q93" i="1"/>
  <c r="X93" i="1" s="1"/>
  <c r="Q92" i="1"/>
  <c r="X92" i="1" s="1"/>
  <c r="W91" i="1"/>
  <c r="V91" i="1"/>
  <c r="U91" i="1"/>
  <c r="T91" i="1"/>
  <c r="S91" i="1"/>
  <c r="R91" i="1"/>
  <c r="P91" i="1"/>
  <c r="O91" i="1"/>
  <c r="N91" i="1"/>
  <c r="M91" i="1"/>
  <c r="L91" i="1"/>
  <c r="N90" i="1"/>
  <c r="Q90" i="1" s="1"/>
  <c r="X90" i="1" s="1"/>
  <c r="X89" i="1"/>
  <c r="Q89" i="1"/>
  <c r="M88" i="1"/>
  <c r="Q88" i="1" s="1"/>
  <c r="X87" i="1"/>
  <c r="N87" i="1"/>
  <c r="Q87" i="1" s="1"/>
  <c r="Q86" i="1"/>
  <c r="W85" i="1"/>
  <c r="V85" i="1"/>
  <c r="U85" i="1"/>
  <c r="T85" i="1"/>
  <c r="S85" i="1"/>
  <c r="R85" i="1"/>
  <c r="P85" i="1"/>
  <c r="P78" i="1" s="1"/>
  <c r="P77" i="1" s="1"/>
  <c r="O85" i="1"/>
  <c r="L85" i="1"/>
  <c r="L78" i="1" s="1"/>
  <c r="L77" i="1" s="1"/>
  <c r="L76" i="1" s="1"/>
  <c r="Q84" i="1"/>
  <c r="X84" i="1" s="1"/>
  <c r="M84" i="1"/>
  <c r="M83" i="1"/>
  <c r="X82" i="1"/>
  <c r="Q82" i="1"/>
  <c r="N82" i="1"/>
  <c r="W81" i="1"/>
  <c r="V81" i="1"/>
  <c r="U81" i="1"/>
  <c r="T81" i="1"/>
  <c r="S81" i="1"/>
  <c r="R81" i="1"/>
  <c r="P81" i="1"/>
  <c r="O81" i="1"/>
  <c r="N81" i="1"/>
  <c r="L81" i="1"/>
  <c r="Q80" i="1"/>
  <c r="X80" i="1" s="1"/>
  <c r="W79" i="1"/>
  <c r="W78" i="1" s="1"/>
  <c r="W77" i="1" s="1"/>
  <c r="W76" i="1" s="1"/>
  <c r="V79" i="1"/>
  <c r="U79" i="1"/>
  <c r="T79" i="1"/>
  <c r="S79" i="1"/>
  <c r="R79" i="1"/>
  <c r="P79" i="1"/>
  <c r="O79" i="1"/>
  <c r="N79" i="1"/>
  <c r="M79" i="1"/>
  <c r="L79" i="1"/>
  <c r="V78" i="1"/>
  <c r="V77" i="1" s="1"/>
  <c r="T78" i="1"/>
  <c r="S78" i="1"/>
  <c r="S77" i="1" s="1"/>
  <c r="S76" i="1" s="1"/>
  <c r="R78" i="1"/>
  <c r="R77" i="1" s="1"/>
  <c r="O78" i="1"/>
  <c r="O77" i="1" s="1"/>
  <c r="O76" i="1" s="1"/>
  <c r="V76" i="1"/>
  <c r="Q75" i="1"/>
  <c r="X75" i="1" s="1"/>
  <c r="W74" i="1"/>
  <c r="W73" i="1" s="1"/>
  <c r="V74" i="1"/>
  <c r="U74" i="1"/>
  <c r="T74" i="1"/>
  <c r="X74" i="1" s="1"/>
  <c r="S74" i="1"/>
  <c r="S73" i="1" s="1"/>
  <c r="R74" i="1"/>
  <c r="Q74" i="1"/>
  <c r="Q73" i="1" s="1"/>
  <c r="P74" i="1"/>
  <c r="P73" i="1" s="1"/>
  <c r="P66" i="1" s="1"/>
  <c r="O74" i="1"/>
  <c r="O73" i="1" s="1"/>
  <c r="N74" i="1"/>
  <c r="M74" i="1"/>
  <c r="L74" i="1"/>
  <c r="L73" i="1" s="1"/>
  <c r="L66" i="1" s="1"/>
  <c r="V73" i="1"/>
  <c r="U73" i="1"/>
  <c r="T73" i="1"/>
  <c r="X73" i="1" s="1"/>
  <c r="R73" i="1"/>
  <c r="N73" i="1"/>
  <c r="M73" i="1"/>
  <c r="Q72" i="1"/>
  <c r="X72" i="1" s="1"/>
  <c r="W71" i="1"/>
  <c r="V71" i="1"/>
  <c r="U71" i="1"/>
  <c r="T71" i="1"/>
  <c r="X71" i="1" s="1"/>
  <c r="S71" i="1"/>
  <c r="R71" i="1"/>
  <c r="Q71" i="1"/>
  <c r="P71" i="1"/>
  <c r="O71" i="1"/>
  <c r="N71" i="1"/>
  <c r="M71" i="1"/>
  <c r="L71" i="1"/>
  <c r="X70" i="1"/>
  <c r="Q70" i="1"/>
  <c r="Q69" i="1"/>
  <c r="X69" i="1" s="1"/>
  <c r="W68" i="1"/>
  <c r="V68" i="1"/>
  <c r="U68" i="1"/>
  <c r="T68" i="1"/>
  <c r="T67" i="1" s="1"/>
  <c r="T66" i="1" s="1"/>
  <c r="X66" i="1" s="1"/>
  <c r="S68" i="1"/>
  <c r="R68" i="1"/>
  <c r="R67" i="1" s="1"/>
  <c r="R66" i="1" s="1"/>
  <c r="Q68" i="1"/>
  <c r="Q67" i="1" s="1"/>
  <c r="Q66" i="1" s="1"/>
  <c r="P68" i="1"/>
  <c r="P67" i="1" s="1"/>
  <c r="O68" i="1"/>
  <c r="N68" i="1"/>
  <c r="M68" i="1"/>
  <c r="M67" i="1" s="1"/>
  <c r="M66" i="1" s="1"/>
  <c r="L68" i="1"/>
  <c r="L67" i="1" s="1"/>
  <c r="W67" i="1"/>
  <c r="V67" i="1"/>
  <c r="U67" i="1"/>
  <c r="U66" i="1" s="1"/>
  <c r="S67" i="1"/>
  <c r="S66" i="1" s="1"/>
  <c r="O67" i="1"/>
  <c r="O66" i="1" s="1"/>
  <c r="N67" i="1"/>
  <c r="N66" i="1" s="1"/>
  <c r="W66" i="1"/>
  <c r="V66" i="1"/>
  <c r="X65" i="1"/>
  <c r="Q65" i="1"/>
  <c r="W64" i="1"/>
  <c r="V64" i="1"/>
  <c r="U64" i="1"/>
  <c r="U63" i="1" s="1"/>
  <c r="T64" i="1"/>
  <c r="S64" i="1"/>
  <c r="R64" i="1"/>
  <c r="Q64" i="1"/>
  <c r="Q63" i="1" s="1"/>
  <c r="X63" i="1" s="1"/>
  <c r="P64" i="1"/>
  <c r="O64" i="1"/>
  <c r="O63" i="1" s="1"/>
  <c r="N64" i="1"/>
  <c r="N63" i="1" s="1"/>
  <c r="N54" i="1" s="1"/>
  <c r="M64" i="1"/>
  <c r="M63" i="1" s="1"/>
  <c r="L64" i="1"/>
  <c r="W63" i="1"/>
  <c r="V63" i="1"/>
  <c r="T63" i="1"/>
  <c r="S63" i="1"/>
  <c r="R63" i="1"/>
  <c r="P63" i="1"/>
  <c r="L63" i="1"/>
  <c r="X62" i="1"/>
  <c r="Q62" i="1"/>
  <c r="Q61" i="1"/>
  <c r="X61" i="1" s="1"/>
  <c r="W60" i="1"/>
  <c r="W59" i="1" s="1"/>
  <c r="V60" i="1"/>
  <c r="U60" i="1"/>
  <c r="T60" i="1"/>
  <c r="X60" i="1" s="1"/>
  <c r="S60" i="1"/>
  <c r="S59" i="1" s="1"/>
  <c r="R60" i="1"/>
  <c r="Q60" i="1"/>
  <c r="Q59" i="1" s="1"/>
  <c r="X59" i="1" s="1"/>
  <c r="P60" i="1"/>
  <c r="P59" i="1" s="1"/>
  <c r="O60" i="1"/>
  <c r="O59" i="1" s="1"/>
  <c r="N60" i="1"/>
  <c r="M60" i="1"/>
  <c r="L60" i="1"/>
  <c r="L59" i="1" s="1"/>
  <c r="L54" i="1" s="1"/>
  <c r="V59" i="1"/>
  <c r="U59" i="1"/>
  <c r="T59" i="1"/>
  <c r="R59" i="1"/>
  <c r="N59" i="1"/>
  <c r="M59" i="1"/>
  <c r="Q58" i="1"/>
  <c r="X58" i="1" s="1"/>
  <c r="W57" i="1"/>
  <c r="V57" i="1"/>
  <c r="U57" i="1"/>
  <c r="U55" i="1" s="1"/>
  <c r="T57" i="1"/>
  <c r="X57" i="1" s="1"/>
  <c r="S57" i="1"/>
  <c r="S55" i="1" s="1"/>
  <c r="S54" i="1" s="1"/>
  <c r="R57" i="1"/>
  <c r="Q57" i="1"/>
  <c r="Q55" i="1" s="1"/>
  <c r="P57" i="1"/>
  <c r="O57" i="1"/>
  <c r="O55" i="1" s="1"/>
  <c r="O54" i="1" s="1"/>
  <c r="N57" i="1"/>
  <c r="M57" i="1"/>
  <c r="L57" i="1"/>
  <c r="L55" i="1" s="1"/>
  <c r="X56" i="1"/>
  <c r="Q56" i="1"/>
  <c r="W55" i="1"/>
  <c r="V55" i="1"/>
  <c r="V54" i="1" s="1"/>
  <c r="R55" i="1"/>
  <c r="P55" i="1"/>
  <c r="M55" i="1"/>
  <c r="W54" i="1"/>
  <c r="R54" i="1"/>
  <c r="Q53" i="1"/>
  <c r="X53" i="1" s="1"/>
  <c r="N53" i="1"/>
  <c r="N52" i="1"/>
  <c r="Q52" i="1" s="1"/>
  <c r="X52" i="1" s="1"/>
  <c r="N51" i="1"/>
  <c r="N47" i="1" s="1"/>
  <c r="M51" i="1"/>
  <c r="Q50" i="1"/>
  <c r="X50" i="1" s="1"/>
  <c r="Q49" i="1"/>
  <c r="X49" i="1" s="1"/>
  <c r="N49" i="1"/>
  <c r="M49" i="1"/>
  <c r="Q48" i="1"/>
  <c r="X48" i="1" s="1"/>
  <c r="W47" i="1"/>
  <c r="V47" i="1"/>
  <c r="U47" i="1"/>
  <c r="T47" i="1"/>
  <c r="S47" i="1"/>
  <c r="R47" i="1"/>
  <c r="P47" i="1"/>
  <c r="O47" i="1"/>
  <c r="M47" i="1"/>
  <c r="M41" i="1" s="1"/>
  <c r="L47" i="1"/>
  <c r="Q46" i="1"/>
  <c r="X46" i="1" s="1"/>
  <c r="X45" i="1"/>
  <c r="Q45" i="1"/>
  <c r="Q44" i="1"/>
  <c r="Q42" i="1" s="1"/>
  <c r="X43" i="1"/>
  <c r="Q43" i="1"/>
  <c r="W42" i="1"/>
  <c r="V42" i="1"/>
  <c r="V41" i="1" s="1"/>
  <c r="U42" i="1"/>
  <c r="T42" i="1"/>
  <c r="X42" i="1" s="1"/>
  <c r="S42" i="1"/>
  <c r="S41" i="1" s="1"/>
  <c r="S37" i="1" s="1"/>
  <c r="R42" i="1"/>
  <c r="R41" i="1" s="1"/>
  <c r="P42" i="1"/>
  <c r="O42" i="1"/>
  <c r="N42" i="1"/>
  <c r="M42" i="1"/>
  <c r="L42" i="1"/>
  <c r="L41" i="1" s="1"/>
  <c r="W41" i="1"/>
  <c r="U41" i="1"/>
  <c r="T41" i="1"/>
  <c r="P41" i="1"/>
  <c r="O41" i="1"/>
  <c r="X40" i="1"/>
  <c r="Q40" i="1"/>
  <c r="W39" i="1"/>
  <c r="V39" i="1"/>
  <c r="V38" i="1" s="1"/>
  <c r="U39" i="1"/>
  <c r="T39" i="1"/>
  <c r="X39" i="1" s="1"/>
  <c r="S39" i="1"/>
  <c r="R39" i="1"/>
  <c r="R38" i="1" s="1"/>
  <c r="Q39" i="1"/>
  <c r="P39" i="1"/>
  <c r="O39" i="1"/>
  <c r="O38" i="1" s="1"/>
  <c r="O37" i="1" s="1"/>
  <c r="N39" i="1"/>
  <c r="N38" i="1" s="1"/>
  <c r="M39" i="1"/>
  <c r="L39" i="1"/>
  <c r="W38" i="1"/>
  <c r="W37" i="1" s="1"/>
  <c r="U38" i="1"/>
  <c r="T38" i="1"/>
  <c r="S38" i="1"/>
  <c r="Q38" i="1"/>
  <c r="X38" i="1" s="1"/>
  <c r="P38" i="1"/>
  <c r="P37" i="1" s="1"/>
  <c r="M38" i="1"/>
  <c r="M37" i="1" s="1"/>
  <c r="L38" i="1"/>
  <c r="L37" i="1" s="1"/>
  <c r="L15" i="1" s="1"/>
  <c r="L14" i="1" s="1"/>
  <c r="V37" i="1"/>
  <c r="U37" i="1"/>
  <c r="R37" i="1"/>
  <c r="Q36" i="1"/>
  <c r="X36" i="1" s="1"/>
  <c r="X35" i="1"/>
  <c r="Q35" i="1"/>
  <c r="Q34" i="1"/>
  <c r="X34" i="1" s="1"/>
  <c r="X33" i="1"/>
  <c r="Q33" i="1"/>
  <c r="Q32" i="1"/>
  <c r="X32" i="1" s="1"/>
  <c r="X31" i="1"/>
  <c r="Q31" i="1"/>
  <c r="W30" i="1"/>
  <c r="V30" i="1"/>
  <c r="U30" i="1"/>
  <c r="T30" i="1"/>
  <c r="S30" i="1"/>
  <c r="R30" i="1"/>
  <c r="P30" i="1"/>
  <c r="O30" i="1"/>
  <c r="N30" i="1"/>
  <c r="M30" i="1"/>
  <c r="L30" i="1"/>
  <c r="X29" i="1"/>
  <c r="Q29" i="1"/>
  <c r="Q28" i="1"/>
  <c r="X28" i="1" s="1"/>
  <c r="Q27" i="1"/>
  <c r="X27" i="1" s="1"/>
  <c r="Q26" i="1"/>
  <c r="X26" i="1" s="1"/>
  <c r="Q25" i="1"/>
  <c r="X25" i="1" s="1"/>
  <c r="N25" i="1"/>
  <c r="Q24" i="1"/>
  <c r="X24" i="1" s="1"/>
  <c r="X23" i="1"/>
  <c r="Q23" i="1"/>
  <c r="Q22" i="1"/>
  <c r="Q20" i="1" s="1"/>
  <c r="X21" i="1"/>
  <c r="Q21" i="1"/>
  <c r="W20" i="1"/>
  <c r="V20" i="1"/>
  <c r="U20" i="1"/>
  <c r="T20" i="1"/>
  <c r="X20" i="1" s="1"/>
  <c r="S20" i="1"/>
  <c r="R20" i="1"/>
  <c r="P20" i="1"/>
  <c r="O20" i="1"/>
  <c r="N20" i="1"/>
  <c r="M20" i="1"/>
  <c r="L20" i="1"/>
  <c r="Q19" i="1"/>
  <c r="X19" i="1" s="1"/>
  <c r="W18" i="1"/>
  <c r="V18" i="1"/>
  <c r="U18" i="1"/>
  <c r="U17" i="1" s="1"/>
  <c r="U16" i="1" s="1"/>
  <c r="T18" i="1"/>
  <c r="S18" i="1"/>
  <c r="R18" i="1"/>
  <c r="P18" i="1"/>
  <c r="O18" i="1"/>
  <c r="N18" i="1"/>
  <c r="M18" i="1"/>
  <c r="M17" i="1" s="1"/>
  <c r="M16" i="1" s="1"/>
  <c r="L18" i="1"/>
  <c r="W17" i="1"/>
  <c r="V17" i="1"/>
  <c r="V16" i="1" s="1"/>
  <c r="V15" i="1" s="1"/>
  <c r="V14" i="1" s="1"/>
  <c r="T17" i="1"/>
  <c r="S17" i="1"/>
  <c r="R17" i="1"/>
  <c r="R16" i="1" s="1"/>
  <c r="R15" i="1" s="1"/>
  <c r="R14" i="1" s="1"/>
  <c r="P17" i="1"/>
  <c r="O17" i="1"/>
  <c r="N17" i="1"/>
  <c r="N16" i="1" s="1"/>
  <c r="L17" i="1"/>
  <c r="W16" i="1"/>
  <c r="W15" i="1" s="1"/>
  <c r="W14" i="1" s="1"/>
  <c r="T16" i="1"/>
  <c r="S16" i="1"/>
  <c r="S15" i="1" s="1"/>
  <c r="S14" i="1" s="1"/>
  <c r="P16" i="1"/>
  <c r="O16" i="1"/>
  <c r="O15" i="1" s="1"/>
  <c r="O14" i="1" s="1"/>
  <c r="L16" i="1"/>
  <c r="P54" i="1" l="1"/>
  <c r="P15" i="1" s="1"/>
  <c r="X106" i="1"/>
  <c r="Q105" i="1"/>
  <c r="X88" i="1"/>
  <c r="Q85" i="1"/>
  <c r="X85" i="1" s="1"/>
  <c r="Q18" i="1"/>
  <c r="Q17" i="1" s="1"/>
  <c r="Q16" i="1" s="1"/>
  <c r="X22" i="1"/>
  <c r="Q30" i="1"/>
  <c r="X30" i="1" s="1"/>
  <c r="T37" i="1"/>
  <c r="X44" i="1"/>
  <c r="T55" i="1"/>
  <c r="X64" i="1"/>
  <c r="T77" i="1"/>
  <c r="Q81" i="1"/>
  <c r="X81" i="1" s="1"/>
  <c r="N85" i="1"/>
  <c r="N78" i="1" s="1"/>
  <c r="N77" i="1" s="1"/>
  <c r="N76" i="1" s="1"/>
  <c r="T98" i="1"/>
  <c r="M110" i="1"/>
  <c r="X136" i="1"/>
  <c r="X67" i="1"/>
  <c r="X68" i="1"/>
  <c r="Q91" i="1"/>
  <c r="X91" i="1" s="1"/>
  <c r="Q115" i="1"/>
  <c r="X115" i="1" s="1"/>
  <c r="X118" i="1"/>
  <c r="X121" i="1"/>
  <c r="Q51" i="1"/>
  <c r="X51" i="1" s="1"/>
  <c r="Q83" i="1"/>
  <c r="X83" i="1" s="1"/>
  <c r="M81" i="1"/>
  <c r="N41" i="1"/>
  <c r="N37" i="1" s="1"/>
  <c r="N15" i="1" s="1"/>
  <c r="N14" i="1" s="1"/>
  <c r="M54" i="1"/>
  <c r="M15" i="1" s="1"/>
  <c r="Q54" i="1"/>
  <c r="U54" i="1"/>
  <c r="U15" i="1" s="1"/>
  <c r="U14" i="1" s="1"/>
  <c r="M78" i="1"/>
  <c r="M77" i="1" s="1"/>
  <c r="Q79" i="1"/>
  <c r="Q78" i="1" s="1"/>
  <c r="Q77" i="1" s="1"/>
  <c r="U78" i="1"/>
  <c r="U77" i="1" s="1"/>
  <c r="U76" i="1" s="1"/>
  <c r="M85" i="1"/>
  <c r="M99" i="1"/>
  <c r="M98" i="1" s="1"/>
  <c r="Q102" i="1"/>
  <c r="P100" i="1"/>
  <c r="P99" i="1" s="1"/>
  <c r="P98" i="1" s="1"/>
  <c r="P76" i="1" s="1"/>
  <c r="X105" i="1"/>
  <c r="Q112" i="1"/>
  <c r="X122" i="1"/>
  <c r="Q124" i="1"/>
  <c r="X124" i="1" s="1"/>
  <c r="X128" i="1"/>
  <c r="X142" i="1"/>
  <c r="T135" i="1"/>
  <c r="P14" i="1" l="1"/>
  <c r="X135" i="1"/>
  <c r="T134" i="1"/>
  <c r="X134" i="1" s="1"/>
  <c r="X79" i="1"/>
  <c r="X112" i="1"/>
  <c r="Q110" i="1"/>
  <c r="X110" i="1" s="1"/>
  <c r="M76" i="1"/>
  <c r="M14" i="1" s="1"/>
  <c r="X77" i="1"/>
  <c r="T76" i="1"/>
  <c r="X17" i="1"/>
  <c r="Q100" i="1"/>
  <c r="X102" i="1"/>
  <c r="Q47" i="1"/>
  <c r="X18" i="1"/>
  <c r="X55" i="1"/>
  <c r="T54" i="1"/>
  <c r="X54" i="1" s="1"/>
  <c r="X78" i="1"/>
  <c r="X16" i="1"/>
  <c r="Q41" i="1" l="1"/>
  <c r="X47" i="1"/>
  <c r="T15" i="1"/>
  <c r="Q99" i="1"/>
  <c r="X100" i="1"/>
  <c r="Q37" i="1" l="1"/>
  <c r="X41" i="1"/>
  <c r="Q98" i="1"/>
  <c r="X99" i="1"/>
  <c r="T14" i="1"/>
  <c r="Q15" i="1" l="1"/>
  <c r="X37" i="1"/>
  <c r="X98" i="1"/>
  <c r="Q76" i="1"/>
  <c r="X76" i="1" s="1"/>
  <c r="Q14" i="1" l="1"/>
  <c r="X14" i="1" s="1"/>
  <c r="X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tc={68B77994-A9FB-471F-86A0-017284DE4400}</author>
  </authors>
  <commentList>
    <comment ref="P102" authorId="0" shapeId="0" xr:uid="{68B77994-A9FB-471F-86A0-017284DE44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001064 02.07.21
2.) Resol. 001601 07.10.21</t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<sst xmlns="http://schemas.openxmlformats.org/spreadsheetml/2006/main" count="912" uniqueCount="219">
  <si>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</si>
  <si>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</si>
  <si>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</si>
  <si>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</si>
  <si>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</si>
  <si>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OCTUBRE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</si>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</sst>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8A5C3C23-1AE9-4631-9BB7-11B0BA87F12C}"/>
    <cellStyle name="Millares_CONS-ENE-MODIF 2" xfId="5" xr:uid="{443AB642-2178-4F53-AE73-B9B2945D6FAD}"/>
    <cellStyle name="Normal" xfId="0" builtinId="0"/>
    <cellStyle name="Normal 2" xfId="2" xr:uid="{17D37CCF-6B3C-4056-A066-D43175853B50}"/>
    <cellStyle name="Normal 2 2" xfId="4" xr:uid="{B0661FBC-9EF1-4ED5-9ACE-8048917F604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73CB30-67EC-4786-88E8-BAD33E9E5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02" dT="2021-11-01T19:18:49.17" personId="{00000000-0000-0000-0000-000000000000}" id="{68B77994-A9FB-471F-86A0-017284DE4400}">
    <text>1.) Resol. 001064 02.07.21
2.) Resol. 001601 07.10.21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5F0C1-1FD0-4069-AAC5-607788C3AF52}">
  <dimension ref="A1:Y144"/>
  <sheetViews>
    <sheetView tabSelected="1" zoomScaleNormal="100" workbookViewId="0">
      <pane ySplit="13" topLeftCell="A14" activePane="bottomLeft" state="frozen"/>
      <selection pane="bottomLeft" activeCell="D10" sqref="D10"/>
    </sheetView>
  </sheetViews>
  <sheetFormatPr baseColWidth="10" defaultColWidth="9.140625" defaultRowHeight="12.75" x14ac:dyDescent="0.2"/>
  <cols>
    <col min="1" max="1" width="9.85546875" style="39" customWidth="1"/>
    <col min="2" max="2" width="9.42578125" style="39" customWidth="1"/>
    <col min="3" max="3" width="9.85546875" style="39" customWidth="1"/>
    <col min="4" max="4" width="8.140625" style="39" customWidth="1"/>
    <col min="5" max="5" width="7" style="39" customWidth="1"/>
    <col min="6" max="6" width="9.5703125" style="39" customWidth="1"/>
    <col min="7" max="7" width="5.7109375" style="39" customWidth="1"/>
    <col min="8" max="8" width="5.28515625" style="41" customWidth="1"/>
    <col min="9" max="9" width="7" style="42" customWidth="1"/>
    <col min="10" max="10" width="7.140625" style="39" customWidth="1"/>
    <col min="11" max="11" width="25.5703125" style="29" customWidth="1"/>
    <col min="12" max="12" width="18.5703125" style="243" customWidth="1"/>
    <col min="13" max="13" width="15.7109375" style="243" customWidth="1"/>
    <col min="14" max="14" width="14.7109375" style="243" customWidth="1"/>
    <col min="15" max="15" width="11.7109375" style="243" customWidth="1"/>
    <col min="16" max="16" width="14.28515625" style="243" customWidth="1"/>
    <col min="17" max="18" width="17.42578125" style="243" customWidth="1"/>
    <col min="19" max="19" width="16" style="244" bestFit="1" customWidth="1"/>
    <col min="20" max="20" width="15.42578125" style="243" customWidth="1"/>
    <col min="21" max="22" width="15.5703125" style="243" customWidth="1"/>
    <col min="23" max="23" width="14.7109375" style="243" customWidth="1"/>
    <col min="24" max="24" width="10.5703125" style="246" customWidth="1"/>
    <col min="25" max="25" width="16.5703125" style="247" customWidth="1"/>
    <col min="26" max="16384" width="9.140625" style="247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34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6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</row>
    <row r="6" spans="1:25" s="10" customFormat="1" x14ac:dyDescent="0.2">
      <c r="A6" s="38"/>
      <c r="B6" s="39"/>
      <c r="C6" s="40"/>
      <c r="D6" s="26"/>
      <c r="E6" s="39"/>
      <c r="F6" s="39"/>
      <c r="G6" s="39"/>
      <c r="H6" s="41"/>
      <c r="I6" s="42"/>
      <c r="J6" s="40"/>
      <c r="K6" s="43"/>
      <c r="S6" s="44"/>
      <c r="U6" s="45"/>
      <c r="W6" s="45"/>
      <c r="X6" s="46"/>
    </row>
    <row r="7" spans="1:25" s="10" customFormat="1" x14ac:dyDescent="0.15">
      <c r="A7" s="47"/>
      <c r="B7" s="48" t="s">
        <v>1</v>
      </c>
      <c r="C7" s="49"/>
      <c r="D7" s="50">
        <v>4301</v>
      </c>
      <c r="E7" s="51"/>
      <c r="F7" s="51"/>
      <c r="G7" s="51"/>
      <c r="H7" s="52"/>
      <c r="I7" s="53"/>
      <c r="J7" s="54"/>
      <c r="K7" s="43"/>
      <c r="S7" s="44"/>
      <c r="W7" s="45"/>
      <c r="X7" s="46"/>
    </row>
    <row r="8" spans="1:25" s="10" customFormat="1" x14ac:dyDescent="0.15">
      <c r="A8" s="47"/>
      <c r="B8" s="48" t="s">
        <v>2</v>
      </c>
      <c r="C8" s="49"/>
      <c r="D8" s="50">
        <v>430101</v>
      </c>
      <c r="E8" s="51"/>
      <c r="F8" s="51"/>
      <c r="G8" s="51"/>
      <c r="H8" s="52"/>
      <c r="I8" s="53"/>
      <c r="J8" s="54"/>
      <c r="K8" s="43"/>
      <c r="P8" s="55"/>
      <c r="S8" s="44"/>
      <c r="W8" s="45"/>
      <c r="X8" s="46"/>
    </row>
    <row r="9" spans="1:25" s="10" customFormat="1" x14ac:dyDescent="0.15">
      <c r="A9" s="47"/>
      <c r="B9" s="48" t="s">
        <v>3</v>
      </c>
      <c r="C9" s="49"/>
      <c r="D9" s="56">
        <v>2021</v>
      </c>
      <c r="E9" s="51"/>
      <c r="F9" s="51"/>
      <c r="G9" s="51"/>
      <c r="H9" s="52"/>
      <c r="I9" s="53"/>
      <c r="J9" s="54"/>
      <c r="K9" s="43"/>
      <c r="P9" s="55"/>
      <c r="S9" s="44"/>
      <c r="U9" s="45"/>
      <c r="V9" s="45"/>
      <c r="W9" s="45"/>
      <c r="X9" s="46"/>
    </row>
    <row r="10" spans="1:25" s="10" customFormat="1" x14ac:dyDescent="0.15">
      <c r="A10" s="47"/>
      <c r="B10" s="48" t="s">
        <v>4</v>
      </c>
      <c r="C10" s="49"/>
      <c r="D10" s="48" t="s">
        <v>5</v>
      </c>
      <c r="E10" s="51"/>
      <c r="F10" s="51"/>
      <c r="G10" s="51"/>
      <c r="H10" s="52"/>
      <c r="I10" s="53"/>
      <c r="J10" s="54"/>
      <c r="K10" s="57"/>
      <c r="P10" s="55"/>
      <c r="S10" s="44"/>
      <c r="U10" s="45"/>
      <c r="V10" s="45"/>
      <c r="W10" s="45"/>
      <c r="X10" s="46"/>
    </row>
    <row r="11" spans="1:25" s="66" customFormat="1" ht="13.5" thickBot="1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60"/>
      <c r="L11" s="61"/>
      <c r="M11" s="61"/>
      <c r="N11" s="61"/>
      <c r="O11" s="61"/>
      <c r="P11" s="61"/>
      <c r="Q11" s="61"/>
      <c r="R11" s="61"/>
      <c r="S11" s="62"/>
      <c r="T11" s="61"/>
      <c r="U11" s="61"/>
      <c r="V11" s="63"/>
      <c r="W11" s="64"/>
      <c r="X11" s="65"/>
    </row>
    <row r="12" spans="1:25" s="75" customFormat="1" ht="24" customHeight="1" thickTop="1" thickBot="1" x14ac:dyDescent="0.3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6.25" thickTop="1" thickBot="1" x14ac:dyDescent="0.3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7.2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L15+L76</f>
        <v>737745255976</v>
      </c>
      <c r="M14" s="90">
        <f t="shared" ref="M14:W14" si="0">M15+M76</f>
        <v>76833241238</v>
      </c>
      <c r="N14" s="90">
        <f t="shared" si="0"/>
        <v>76833241238</v>
      </c>
      <c r="O14" s="90">
        <f t="shared" si="0"/>
        <v>0</v>
      </c>
      <c r="P14" s="90">
        <f t="shared" si="0"/>
        <v>29976828957</v>
      </c>
      <c r="Q14" s="90">
        <f t="shared" si="0"/>
        <v>767722084933</v>
      </c>
      <c r="R14" s="90">
        <f>R15+R76</f>
        <v>190884091</v>
      </c>
      <c r="S14" s="90">
        <f t="shared" si="0"/>
        <v>741530714148.74011</v>
      </c>
      <c r="T14" s="90">
        <f>T15+T76</f>
        <v>541408503281.03998</v>
      </c>
      <c r="U14" s="90">
        <f t="shared" si="0"/>
        <v>207788637390.66003</v>
      </c>
      <c r="V14" s="90">
        <f t="shared" si="0"/>
        <v>207767962202.14001</v>
      </c>
      <c r="W14" s="90">
        <f t="shared" si="0"/>
        <v>207767962202.14001</v>
      </c>
      <c r="X14" s="91">
        <f t="shared" ref="X14:X77" si="1">T14/Q14</f>
        <v>0.70521418350012599</v>
      </c>
      <c r="Y14" s="92"/>
    </row>
    <row r="15" spans="1:25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L16+L37+L54+L66</f>
        <v>39882291951</v>
      </c>
      <c r="M15" s="99">
        <f t="shared" ref="M15:W15" si="2">M16+M37+M54+M66</f>
        <v>3063927722</v>
      </c>
      <c r="N15" s="99">
        <f t="shared" si="2"/>
        <v>3063927722</v>
      </c>
      <c r="O15" s="99">
        <f t="shared" si="2"/>
        <v>0</v>
      </c>
      <c r="P15" s="99">
        <f t="shared" si="2"/>
        <v>0</v>
      </c>
      <c r="Q15" s="99">
        <f t="shared" si="2"/>
        <v>39882291951</v>
      </c>
      <c r="R15" s="99">
        <f>R16+R37+R54+R66</f>
        <v>190884090</v>
      </c>
      <c r="S15" s="99">
        <f t="shared" si="2"/>
        <v>37356413210.300003</v>
      </c>
      <c r="T15" s="99">
        <f t="shared" si="2"/>
        <v>29848635194.099998</v>
      </c>
      <c r="U15" s="99">
        <f t="shared" si="2"/>
        <v>27374910908.610001</v>
      </c>
      <c r="V15" s="99">
        <f t="shared" si="2"/>
        <v>27374910908.610001</v>
      </c>
      <c r="W15" s="99">
        <f t="shared" si="2"/>
        <v>27374910908.610001</v>
      </c>
      <c r="X15" s="100">
        <f t="shared" si="1"/>
        <v>0.74841825115699201</v>
      </c>
      <c r="Y15" s="101"/>
    </row>
    <row r="16" spans="1:25" s="111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19088408936</v>
      </c>
      <c r="M16" s="108">
        <f t="shared" ref="M16:W16" si="3">SUM(M17)</f>
        <v>148573859</v>
      </c>
      <c r="N16" s="108">
        <f t="shared" si="3"/>
        <v>148573859</v>
      </c>
      <c r="O16" s="108">
        <f t="shared" si="3"/>
        <v>0</v>
      </c>
      <c r="P16" s="108">
        <f t="shared" si="3"/>
        <v>0</v>
      </c>
      <c r="Q16" s="108">
        <f t="shared" si="3"/>
        <v>19088408936</v>
      </c>
      <c r="R16" s="108">
        <f>SUM(R17)</f>
        <v>0</v>
      </c>
      <c r="S16" s="108">
        <f t="shared" si="3"/>
        <v>19088408936</v>
      </c>
      <c r="T16" s="108">
        <f t="shared" si="3"/>
        <v>13978823219</v>
      </c>
      <c r="U16" s="108">
        <f t="shared" si="3"/>
        <v>13970453358</v>
      </c>
      <c r="V16" s="108">
        <f t="shared" si="3"/>
        <v>13970453358</v>
      </c>
      <c r="W16" s="108">
        <f t="shared" si="3"/>
        <v>13970453358</v>
      </c>
      <c r="X16" s="109">
        <f t="shared" si="1"/>
        <v>0.73231997836322971</v>
      </c>
      <c r="Y16" s="110"/>
    </row>
    <row r="17" spans="1:25" s="111" customFormat="1" ht="16.5" x14ac:dyDescent="0.2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19088408936</v>
      </c>
      <c r="M17" s="119">
        <f t="shared" ref="M17:W17" si="4">M18+M20+M30</f>
        <v>148573859</v>
      </c>
      <c r="N17" s="119">
        <f t="shared" si="4"/>
        <v>148573859</v>
      </c>
      <c r="O17" s="119">
        <f t="shared" si="4"/>
        <v>0</v>
      </c>
      <c r="P17" s="119">
        <f t="shared" si="4"/>
        <v>0</v>
      </c>
      <c r="Q17" s="119">
        <f t="shared" si="4"/>
        <v>19088408936</v>
      </c>
      <c r="R17" s="119">
        <f>R18+R20+R30</f>
        <v>0</v>
      </c>
      <c r="S17" s="119">
        <f t="shared" si="4"/>
        <v>19088408936</v>
      </c>
      <c r="T17" s="119">
        <f t="shared" si="4"/>
        <v>13978823219</v>
      </c>
      <c r="U17" s="119">
        <f t="shared" si="4"/>
        <v>13970453358</v>
      </c>
      <c r="V17" s="119">
        <f t="shared" si="4"/>
        <v>13970453358</v>
      </c>
      <c r="W17" s="119">
        <f t="shared" si="4"/>
        <v>13970453358</v>
      </c>
      <c r="X17" s="120">
        <f t="shared" si="1"/>
        <v>0.73231997836322971</v>
      </c>
      <c r="Y17" s="110"/>
    </row>
    <row r="18" spans="1:25" s="111" customFormat="1" x14ac:dyDescent="0.2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12793271078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12793271078</v>
      </c>
      <c r="R18" s="119">
        <f>R19</f>
        <v>0</v>
      </c>
      <c r="S18" s="119">
        <f t="shared" si="5"/>
        <v>12793271078</v>
      </c>
      <c r="T18" s="119">
        <f t="shared" si="5"/>
        <v>9107079517</v>
      </c>
      <c r="U18" s="119">
        <f t="shared" si="5"/>
        <v>9098994161</v>
      </c>
      <c r="V18" s="119">
        <f t="shared" si="5"/>
        <v>9098994161</v>
      </c>
      <c r="W18" s="119">
        <f t="shared" si="5"/>
        <v>9098994161</v>
      </c>
      <c r="X18" s="122">
        <f t="shared" si="1"/>
        <v>0.71186481248419931</v>
      </c>
      <c r="Y18" s="110"/>
    </row>
    <row r="19" spans="1:25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12793271078</v>
      </c>
      <c r="M19" s="130"/>
      <c r="N19" s="130"/>
      <c r="O19" s="130"/>
      <c r="P19" s="130"/>
      <c r="Q19" s="130">
        <f>L19-M19+N19-O19+P19</f>
        <v>12793271078</v>
      </c>
      <c r="R19" s="130"/>
      <c r="S19" s="130">
        <v>12793271078</v>
      </c>
      <c r="T19" s="130">
        <v>9107079517</v>
      </c>
      <c r="U19" s="130">
        <v>9098994161</v>
      </c>
      <c r="V19" s="130">
        <v>9098994161</v>
      </c>
      <c r="W19" s="130">
        <v>9098994161</v>
      </c>
      <c r="X19" s="131">
        <f t="shared" si="1"/>
        <v>0.71186481248419931</v>
      </c>
      <c r="Y19" s="132"/>
    </row>
    <row r="20" spans="1:25" s="111" customFormat="1" ht="16.5" x14ac:dyDescent="0.2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4471411727</v>
      </c>
      <c r="M20" s="119">
        <f t="shared" ref="M20:W20" si="6">SUM(M21:M29)</f>
        <v>28573859</v>
      </c>
      <c r="N20" s="119">
        <f t="shared" si="6"/>
        <v>28573859</v>
      </c>
      <c r="O20" s="119">
        <f t="shared" si="6"/>
        <v>0</v>
      </c>
      <c r="P20" s="119">
        <f t="shared" si="6"/>
        <v>0</v>
      </c>
      <c r="Q20" s="119">
        <f t="shared" si="6"/>
        <v>4471411727</v>
      </c>
      <c r="R20" s="119">
        <f>SUM(R21:R29)</f>
        <v>0</v>
      </c>
      <c r="S20" s="119">
        <f t="shared" si="6"/>
        <v>4471411727</v>
      </c>
      <c r="T20" s="119">
        <f t="shared" si="6"/>
        <v>3466085737</v>
      </c>
      <c r="U20" s="119">
        <f t="shared" si="6"/>
        <v>3466085737</v>
      </c>
      <c r="V20" s="119">
        <f t="shared" si="6"/>
        <v>3466085737</v>
      </c>
      <c r="W20" s="119">
        <f t="shared" si="6"/>
        <v>3466085737</v>
      </c>
      <c r="X20" s="122">
        <f t="shared" si="1"/>
        <v>0.77516586452339464</v>
      </c>
      <c r="Y20" s="110"/>
    </row>
    <row r="21" spans="1:25" s="143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1326302992</v>
      </c>
      <c r="M21" s="141">
        <v>27461759</v>
      </c>
      <c r="N21" s="141"/>
      <c r="O21" s="141"/>
      <c r="P21" s="141"/>
      <c r="Q21" s="141">
        <f t="shared" ref="Q21:Q36" si="7">L21-M21+N21-O21+P21</f>
        <v>1298841233</v>
      </c>
      <c r="R21" s="141"/>
      <c r="S21" s="141">
        <v>1298841233</v>
      </c>
      <c r="T21" s="141">
        <v>1022570400</v>
      </c>
      <c r="U21" s="141">
        <v>1022570400</v>
      </c>
      <c r="V21" s="141">
        <v>1022570400</v>
      </c>
      <c r="W21" s="141">
        <v>1022570400</v>
      </c>
      <c r="X21" s="131">
        <f t="shared" si="1"/>
        <v>0.7872943774953286</v>
      </c>
      <c r="Y21" s="142"/>
    </row>
    <row r="22" spans="1:25" s="143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937189620</v>
      </c>
      <c r="M22" s="141"/>
      <c r="N22" s="141"/>
      <c r="O22" s="141"/>
      <c r="P22" s="141"/>
      <c r="Q22" s="141">
        <f t="shared" si="7"/>
        <v>937189620</v>
      </c>
      <c r="R22" s="141"/>
      <c r="S22" s="141">
        <v>937189620</v>
      </c>
      <c r="T22" s="141">
        <v>724399900</v>
      </c>
      <c r="U22" s="141">
        <v>724399900</v>
      </c>
      <c r="V22" s="141">
        <v>724399900</v>
      </c>
      <c r="W22" s="141">
        <v>724399900</v>
      </c>
      <c r="X22" s="131">
        <f t="shared" si="1"/>
        <v>0.77294912848053099</v>
      </c>
      <c r="Y22" s="142"/>
    </row>
    <row r="23" spans="1:25" s="143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/>
      <c r="O23" s="141"/>
      <c r="P23" s="141"/>
      <c r="Q23" s="141">
        <f t="shared" si="7"/>
        <v>1033367652</v>
      </c>
      <c r="R23" s="141"/>
      <c r="S23" s="141">
        <v>1033367652</v>
      </c>
      <c r="T23" s="141">
        <v>804251037</v>
      </c>
      <c r="U23" s="141">
        <v>804251037</v>
      </c>
      <c r="V23" s="141">
        <v>804251037</v>
      </c>
      <c r="W23" s="141">
        <v>804251037</v>
      </c>
      <c r="X23" s="131">
        <f t="shared" si="1"/>
        <v>0.77828160717382322</v>
      </c>
      <c r="Y23" s="142"/>
    </row>
    <row r="24" spans="1:25" s="143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511456205</v>
      </c>
      <c r="T24" s="141">
        <v>380780500</v>
      </c>
      <c r="U24" s="141">
        <v>380780500</v>
      </c>
      <c r="V24" s="141">
        <v>380780500</v>
      </c>
      <c r="W24" s="141">
        <v>380780500</v>
      </c>
      <c r="X24" s="131">
        <f t="shared" si="1"/>
        <v>0.74450265003628224</v>
      </c>
      <c r="Y24" s="142"/>
    </row>
    <row r="25" spans="1:25" s="143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45225000</v>
      </c>
      <c r="M25" s="141"/>
      <c r="N25" s="141">
        <f>1112100+25316407</f>
        <v>26428507</v>
      </c>
      <c r="O25" s="141"/>
      <c r="P25" s="141"/>
      <c r="Q25" s="141">
        <f t="shared" si="7"/>
        <v>71653507</v>
      </c>
      <c r="R25" s="141"/>
      <c r="S25" s="141">
        <v>71653507</v>
      </c>
      <c r="T25" s="141">
        <v>57862200</v>
      </c>
      <c r="U25" s="141">
        <v>57862200</v>
      </c>
      <c r="V25" s="141">
        <v>57862200</v>
      </c>
      <c r="W25" s="141">
        <v>57862200</v>
      </c>
      <c r="X25" s="131">
        <f t="shared" si="1"/>
        <v>0.80752781577041299</v>
      </c>
      <c r="Y25" s="142"/>
    </row>
    <row r="26" spans="1:25" s="143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381642155</v>
      </c>
      <c r="T26" s="141">
        <v>285620000</v>
      </c>
      <c r="U26" s="141">
        <v>285620000</v>
      </c>
      <c r="V26" s="141">
        <v>285620000</v>
      </c>
      <c r="W26" s="141">
        <v>285620000</v>
      </c>
      <c r="X26" s="131">
        <f t="shared" si="1"/>
        <v>0.74839740908600627</v>
      </c>
      <c r="Y26" s="142"/>
    </row>
    <row r="27" spans="1:25" s="143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57107026</v>
      </c>
      <c r="M27" s="141"/>
      <c r="N27" s="141">
        <v>1072676</v>
      </c>
      <c r="O27" s="141"/>
      <c r="P27" s="141"/>
      <c r="Q27" s="141">
        <f t="shared" si="7"/>
        <v>58179702</v>
      </c>
      <c r="R27" s="141"/>
      <c r="S27" s="141">
        <v>58179702</v>
      </c>
      <c r="T27" s="141">
        <v>47666800</v>
      </c>
      <c r="U27" s="141">
        <v>47666800</v>
      </c>
      <c r="V27" s="141">
        <v>47666800</v>
      </c>
      <c r="W27" s="141">
        <v>47666800</v>
      </c>
      <c r="X27" s="131">
        <f t="shared" si="1"/>
        <v>0.81930292458356013</v>
      </c>
      <c r="Y27" s="142"/>
    </row>
    <row r="28" spans="1:25" s="143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57107026</v>
      </c>
      <c r="M28" s="141"/>
      <c r="N28" s="141">
        <v>1072676</v>
      </c>
      <c r="O28" s="141"/>
      <c r="P28" s="141"/>
      <c r="Q28" s="141">
        <f t="shared" si="7"/>
        <v>58179702</v>
      </c>
      <c r="R28" s="141"/>
      <c r="S28" s="141">
        <v>58179702</v>
      </c>
      <c r="T28" s="141">
        <v>47666800</v>
      </c>
      <c r="U28" s="141">
        <v>47666800</v>
      </c>
      <c r="V28" s="141">
        <v>47666800</v>
      </c>
      <c r="W28" s="141">
        <v>47666800</v>
      </c>
      <c r="X28" s="131">
        <f t="shared" si="1"/>
        <v>0.81930292458356013</v>
      </c>
      <c r="Y28" s="142"/>
    </row>
    <row r="29" spans="1:25" s="143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122014051</v>
      </c>
      <c r="M29" s="141">
        <v>1112100</v>
      </c>
      <c r="N29" s="141"/>
      <c r="O29" s="141"/>
      <c r="P29" s="141"/>
      <c r="Q29" s="141">
        <f t="shared" si="7"/>
        <v>120901951</v>
      </c>
      <c r="R29" s="141"/>
      <c r="S29" s="141">
        <v>120901951</v>
      </c>
      <c r="T29" s="141">
        <v>95268100</v>
      </c>
      <c r="U29" s="141">
        <v>95268100</v>
      </c>
      <c r="V29" s="141">
        <v>95268100</v>
      </c>
      <c r="W29" s="141">
        <v>95268100</v>
      </c>
      <c r="X29" s="131">
        <f t="shared" si="1"/>
        <v>0.78797818572836764</v>
      </c>
      <c r="Y29" s="142"/>
    </row>
    <row r="30" spans="1:25" s="111" customFormat="1" ht="24.75" x14ac:dyDescent="0.2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1823726131</v>
      </c>
      <c r="M30" s="119">
        <f t="shared" ref="M30:W30" si="8">SUM(M31:M36)</f>
        <v>120000000</v>
      </c>
      <c r="N30" s="119">
        <f t="shared" si="8"/>
        <v>120000000</v>
      </c>
      <c r="O30" s="119">
        <f t="shared" si="8"/>
        <v>0</v>
      </c>
      <c r="P30" s="119">
        <f t="shared" si="8"/>
        <v>0</v>
      </c>
      <c r="Q30" s="119">
        <f t="shared" si="8"/>
        <v>1823726131</v>
      </c>
      <c r="R30" s="119">
        <f>SUM(R31:R36)</f>
        <v>0</v>
      </c>
      <c r="S30" s="119">
        <f t="shared" si="8"/>
        <v>1823726131</v>
      </c>
      <c r="T30" s="119">
        <f t="shared" si="8"/>
        <v>1405657965</v>
      </c>
      <c r="U30" s="119">
        <f t="shared" si="8"/>
        <v>1405373460</v>
      </c>
      <c r="V30" s="119">
        <f t="shared" si="8"/>
        <v>1405373460</v>
      </c>
      <c r="W30" s="119">
        <f t="shared" si="8"/>
        <v>1405373460</v>
      </c>
      <c r="X30" s="122">
        <f t="shared" si="1"/>
        <v>0.77076154204646863</v>
      </c>
      <c r="Y30" s="110"/>
    </row>
    <row r="31" spans="1:25" s="143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629026131</v>
      </c>
      <c r="M31" s="141"/>
      <c r="N31" s="141">
        <v>120000000</v>
      </c>
      <c r="O31" s="141"/>
      <c r="P31" s="141"/>
      <c r="Q31" s="141">
        <f t="shared" si="7"/>
        <v>749026131</v>
      </c>
      <c r="R31" s="141"/>
      <c r="S31" s="141">
        <v>749026131</v>
      </c>
      <c r="T31" s="141">
        <v>624116139</v>
      </c>
      <c r="U31" s="141">
        <v>624116139</v>
      </c>
      <c r="V31" s="141">
        <v>624116139</v>
      </c>
      <c r="W31" s="141">
        <v>624116139</v>
      </c>
      <c r="X31" s="144">
        <f t="shared" si="1"/>
        <v>0.83323680332322081</v>
      </c>
      <c r="Y31" s="142"/>
    </row>
    <row r="32" spans="1:25" s="143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364200000</v>
      </c>
      <c r="M32" s="141">
        <v>30000000</v>
      </c>
      <c r="N32" s="141"/>
      <c r="O32" s="141"/>
      <c r="P32" s="141"/>
      <c r="Q32" s="141">
        <f t="shared" si="7"/>
        <v>334200000</v>
      </c>
      <c r="R32" s="141"/>
      <c r="S32" s="141">
        <v>334200000</v>
      </c>
      <c r="T32" s="141">
        <v>256807568</v>
      </c>
      <c r="U32" s="141">
        <v>256807568</v>
      </c>
      <c r="V32" s="141">
        <v>256807568</v>
      </c>
      <c r="W32" s="141">
        <v>256807568</v>
      </c>
      <c r="X32" s="144">
        <f t="shared" si="1"/>
        <v>0.76842479952124476</v>
      </c>
      <c r="Y32" s="142"/>
    </row>
    <row r="33" spans="1:25" s="143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7"/>
        <v>10000000</v>
      </c>
      <c r="R33" s="141"/>
      <c r="S33" s="141">
        <v>10000000</v>
      </c>
      <c r="T33" s="141">
        <v>7450333</v>
      </c>
      <c r="U33" s="141">
        <v>7450333</v>
      </c>
      <c r="V33" s="141">
        <v>7450333</v>
      </c>
      <c r="W33" s="141">
        <v>7450333</v>
      </c>
      <c r="X33" s="144">
        <f t="shared" si="1"/>
        <v>0.74503330000000001</v>
      </c>
      <c r="Y33" s="142"/>
    </row>
    <row r="34" spans="1:25" s="143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/>
      <c r="N34" s="141"/>
      <c r="O34" s="141"/>
      <c r="P34" s="141"/>
      <c r="Q34" s="141">
        <f t="shared" si="7"/>
        <v>60000000</v>
      </c>
      <c r="R34" s="141"/>
      <c r="S34" s="141">
        <v>60000000</v>
      </c>
      <c r="T34" s="141">
        <v>47106036</v>
      </c>
      <c r="U34" s="141">
        <v>47106036</v>
      </c>
      <c r="V34" s="141">
        <v>47106036</v>
      </c>
      <c r="W34" s="141">
        <v>47106036</v>
      </c>
      <c r="X34" s="144">
        <f t="shared" si="1"/>
        <v>0.78510060000000004</v>
      </c>
      <c r="Y34" s="142"/>
    </row>
    <row r="35" spans="1:25" s="143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330500000</v>
      </c>
      <c r="M35" s="141">
        <v>40000000</v>
      </c>
      <c r="N35" s="141"/>
      <c r="O35" s="141"/>
      <c r="P35" s="141"/>
      <c r="Q35" s="141">
        <f t="shared" si="7"/>
        <v>290500000</v>
      </c>
      <c r="R35" s="141"/>
      <c r="S35" s="141">
        <v>290500000</v>
      </c>
      <c r="T35" s="141">
        <v>242814156</v>
      </c>
      <c r="U35" s="141">
        <v>242529651</v>
      </c>
      <c r="V35" s="141">
        <v>242529651</v>
      </c>
      <c r="W35" s="141">
        <v>242529651</v>
      </c>
      <c r="X35" s="144">
        <f t="shared" si="1"/>
        <v>0.83584907401032704</v>
      </c>
      <c r="Y35" s="142"/>
    </row>
    <row r="36" spans="1:25" s="143" customFormat="1" x14ac:dyDescent="0.2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430000000</v>
      </c>
      <c r="M36" s="152">
        <v>50000000</v>
      </c>
      <c r="N36" s="152"/>
      <c r="O36" s="152"/>
      <c r="P36" s="152"/>
      <c r="Q36" s="152">
        <f t="shared" si="7"/>
        <v>380000000</v>
      </c>
      <c r="R36" s="152"/>
      <c r="S36" s="152">
        <v>380000000</v>
      </c>
      <c r="T36" s="152">
        <v>227363733</v>
      </c>
      <c r="U36" s="152">
        <v>227363733</v>
      </c>
      <c r="V36" s="152">
        <v>227363733</v>
      </c>
      <c r="W36" s="152">
        <v>227363733</v>
      </c>
      <c r="X36" s="153">
        <f t="shared" si="1"/>
        <v>0.59832561315789479</v>
      </c>
      <c r="Y36" s="142"/>
    </row>
    <row r="37" spans="1:25" s="111" customFormat="1" ht="16.5" x14ac:dyDescent="0.2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L38+L41</f>
        <v>4340000000</v>
      </c>
      <c r="M37" s="159">
        <f t="shared" ref="M37:W37" si="9">M38+M41</f>
        <v>347000000</v>
      </c>
      <c r="N37" s="159">
        <f t="shared" si="9"/>
        <v>2915353863</v>
      </c>
      <c r="O37" s="159">
        <f t="shared" si="9"/>
        <v>0</v>
      </c>
      <c r="P37" s="159">
        <f t="shared" si="9"/>
        <v>0</v>
      </c>
      <c r="Q37" s="159">
        <f t="shared" si="9"/>
        <v>6908353863</v>
      </c>
      <c r="R37" s="159">
        <f>R38+R41</f>
        <v>0</v>
      </c>
      <c r="S37" s="159">
        <f t="shared" si="9"/>
        <v>4950645671</v>
      </c>
      <c r="T37" s="159">
        <f t="shared" si="9"/>
        <v>3983468162.7999992</v>
      </c>
      <c r="U37" s="159">
        <f t="shared" si="9"/>
        <v>1866280977.6100001</v>
      </c>
      <c r="V37" s="159">
        <f t="shared" si="9"/>
        <v>1866280977.6100001</v>
      </c>
      <c r="W37" s="159">
        <f t="shared" si="9"/>
        <v>1866280977.6100001</v>
      </c>
      <c r="X37" s="160">
        <f t="shared" si="1"/>
        <v>0.57661611460507189</v>
      </c>
      <c r="Y37" s="110"/>
    </row>
    <row r="38" spans="1:25" s="111" customFormat="1" ht="16.5" x14ac:dyDescent="0.2">
      <c r="A38" s="112" t="s">
        <v>34</v>
      </c>
      <c r="B38" s="113" t="s">
        <v>44</v>
      </c>
      <c r="C38" s="113" t="s">
        <v>36</v>
      </c>
      <c r="D38" s="113"/>
      <c r="E38" s="114"/>
      <c r="F38" s="114"/>
      <c r="G38" s="114"/>
      <c r="H38" s="115"/>
      <c r="I38" s="116"/>
      <c r="J38" s="117"/>
      <c r="K38" s="118" t="s">
        <v>74</v>
      </c>
      <c r="L38" s="119">
        <f>SUM(L39)</f>
        <v>11000000</v>
      </c>
      <c r="M38" s="119">
        <f t="shared" ref="M38:W38" si="10">SUM(M39)</f>
        <v>0</v>
      </c>
      <c r="N38" s="119">
        <f t="shared" si="10"/>
        <v>0</v>
      </c>
      <c r="O38" s="119">
        <f t="shared" si="10"/>
        <v>0</v>
      </c>
      <c r="P38" s="119">
        <f t="shared" si="10"/>
        <v>0</v>
      </c>
      <c r="Q38" s="119">
        <f t="shared" si="10"/>
        <v>11000000</v>
      </c>
      <c r="R38" s="119">
        <f>SUM(R39)</f>
        <v>0</v>
      </c>
      <c r="S38" s="119">
        <f t="shared" si="10"/>
        <v>0</v>
      </c>
      <c r="T38" s="119">
        <f t="shared" si="10"/>
        <v>0</v>
      </c>
      <c r="U38" s="119">
        <f t="shared" si="10"/>
        <v>0</v>
      </c>
      <c r="V38" s="119">
        <f t="shared" si="10"/>
        <v>0</v>
      </c>
      <c r="W38" s="119">
        <f t="shared" si="10"/>
        <v>0</v>
      </c>
      <c r="X38" s="120">
        <f t="shared" si="1"/>
        <v>0</v>
      </c>
      <c r="Y38" s="110"/>
    </row>
    <row r="39" spans="1:25" s="111" customFormat="1" x14ac:dyDescent="0.2">
      <c r="A39" s="112" t="s">
        <v>34</v>
      </c>
      <c r="B39" s="113" t="s">
        <v>44</v>
      </c>
      <c r="C39" s="113" t="s">
        <v>36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L40</f>
        <v>11000000</v>
      </c>
      <c r="M39" s="119">
        <f t="shared" ref="M39:W39" si="11">M40</f>
        <v>0</v>
      </c>
      <c r="N39" s="119">
        <f t="shared" si="11"/>
        <v>0</v>
      </c>
      <c r="O39" s="119">
        <f t="shared" si="11"/>
        <v>0</v>
      </c>
      <c r="P39" s="119">
        <f t="shared" si="11"/>
        <v>0</v>
      </c>
      <c r="Q39" s="119">
        <f t="shared" si="11"/>
        <v>11000000</v>
      </c>
      <c r="R39" s="119">
        <f>R40</f>
        <v>0</v>
      </c>
      <c r="S39" s="119">
        <f t="shared" si="11"/>
        <v>0</v>
      </c>
      <c r="T39" s="119">
        <f t="shared" si="11"/>
        <v>0</v>
      </c>
      <c r="U39" s="119">
        <f t="shared" si="11"/>
        <v>0</v>
      </c>
      <c r="V39" s="119">
        <f t="shared" si="11"/>
        <v>0</v>
      </c>
      <c r="W39" s="119">
        <f t="shared" si="11"/>
        <v>0</v>
      </c>
      <c r="X39" s="122">
        <f t="shared" si="1"/>
        <v>0</v>
      </c>
      <c r="Y39" s="110"/>
    </row>
    <row r="40" spans="1:25" s="143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11000000</v>
      </c>
      <c r="M40" s="141"/>
      <c r="N40" s="141"/>
      <c r="O40" s="141"/>
      <c r="P40" s="141"/>
      <c r="Q40" s="141">
        <f>L40-M40+N40-O40+P40</f>
        <v>11000000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4">
        <f t="shared" si="1"/>
        <v>0</v>
      </c>
      <c r="Y40" s="142"/>
    </row>
    <row r="41" spans="1:25" s="111" customFormat="1" ht="16.5" x14ac:dyDescent="0.2">
      <c r="A41" s="112" t="s">
        <v>34</v>
      </c>
      <c r="B41" s="113" t="s">
        <v>44</v>
      </c>
      <c r="C41" s="113" t="s">
        <v>44</v>
      </c>
      <c r="D41" s="113"/>
      <c r="E41" s="114"/>
      <c r="F41" s="114"/>
      <c r="G41" s="114"/>
      <c r="H41" s="115"/>
      <c r="I41" s="116"/>
      <c r="J41" s="117"/>
      <c r="K41" s="121" t="s">
        <v>77</v>
      </c>
      <c r="L41" s="161">
        <f>L42+L47</f>
        <v>4329000000</v>
      </c>
      <c r="M41" s="161">
        <f t="shared" ref="M41:W41" si="12">M42+M47</f>
        <v>347000000</v>
      </c>
      <c r="N41" s="161">
        <f t="shared" si="12"/>
        <v>2915353863</v>
      </c>
      <c r="O41" s="161">
        <f t="shared" si="12"/>
        <v>0</v>
      </c>
      <c r="P41" s="161">
        <f t="shared" si="12"/>
        <v>0</v>
      </c>
      <c r="Q41" s="161">
        <f t="shared" si="12"/>
        <v>6897353863</v>
      </c>
      <c r="R41" s="161">
        <f>R42+R47</f>
        <v>0</v>
      </c>
      <c r="S41" s="161">
        <f t="shared" si="12"/>
        <v>4950645671</v>
      </c>
      <c r="T41" s="161">
        <f t="shared" si="12"/>
        <v>3983468162.7999992</v>
      </c>
      <c r="U41" s="161">
        <f t="shared" si="12"/>
        <v>1866280977.6100001</v>
      </c>
      <c r="V41" s="161">
        <f t="shared" si="12"/>
        <v>1866280977.6100001</v>
      </c>
      <c r="W41" s="161">
        <f t="shared" si="12"/>
        <v>1866280977.6100001</v>
      </c>
      <c r="X41" s="120">
        <f t="shared" si="1"/>
        <v>0.57753571034956186</v>
      </c>
      <c r="Y41" s="110"/>
    </row>
    <row r="42" spans="1:25" s="111" customFormat="1" x14ac:dyDescent="0.2">
      <c r="A42" s="112" t="s">
        <v>34</v>
      </c>
      <c r="B42" s="113" t="s">
        <v>44</v>
      </c>
      <c r="C42" s="113" t="s">
        <v>44</v>
      </c>
      <c r="D42" s="113" t="s">
        <v>36</v>
      </c>
      <c r="E42" s="114"/>
      <c r="F42" s="114"/>
      <c r="G42" s="114"/>
      <c r="H42" s="115"/>
      <c r="I42" s="116"/>
      <c r="J42" s="117"/>
      <c r="K42" s="121" t="s">
        <v>78</v>
      </c>
      <c r="L42" s="119">
        <f>SUM(L43:L46)</f>
        <v>105600000</v>
      </c>
      <c r="M42" s="119">
        <f t="shared" ref="M42:W42" si="13">SUM(M43:M46)</f>
        <v>500000</v>
      </c>
      <c r="N42" s="119">
        <f t="shared" si="13"/>
        <v>6000000</v>
      </c>
      <c r="O42" s="119">
        <f t="shared" si="13"/>
        <v>0</v>
      </c>
      <c r="P42" s="119">
        <f t="shared" si="13"/>
        <v>0</v>
      </c>
      <c r="Q42" s="119">
        <f t="shared" si="13"/>
        <v>111100000</v>
      </c>
      <c r="R42" s="119">
        <f>SUM(R43:R46)</f>
        <v>0</v>
      </c>
      <c r="S42" s="119">
        <f t="shared" si="13"/>
        <v>87100000</v>
      </c>
      <c r="T42" s="119">
        <f t="shared" si="13"/>
        <v>65705185.409999996</v>
      </c>
      <c r="U42" s="119">
        <f t="shared" si="13"/>
        <v>38675368.119999997</v>
      </c>
      <c r="V42" s="119">
        <f t="shared" si="13"/>
        <v>38675368.119999997</v>
      </c>
      <c r="W42" s="119">
        <f t="shared" si="13"/>
        <v>38675368.119999997</v>
      </c>
      <c r="X42" s="122">
        <f t="shared" si="1"/>
        <v>0.59140580927092701</v>
      </c>
      <c r="Y42" s="110"/>
    </row>
    <row r="43" spans="1:25" s="143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2000000</v>
      </c>
      <c r="M43" s="141"/>
      <c r="N43" s="141"/>
      <c r="O43" s="141"/>
      <c r="P43" s="141"/>
      <c r="Q43" s="141">
        <f>L43-M43+N43-O43+P43</f>
        <v>2000000</v>
      </c>
      <c r="R43" s="141"/>
      <c r="S43" s="141">
        <v>500000</v>
      </c>
      <c r="T43" s="141">
        <v>500000</v>
      </c>
      <c r="U43" s="141">
        <v>500000</v>
      </c>
      <c r="V43" s="141">
        <v>500000</v>
      </c>
      <c r="W43" s="141">
        <v>500000</v>
      </c>
      <c r="X43" s="144">
        <f t="shared" si="1"/>
        <v>0.25</v>
      </c>
      <c r="Y43" s="142"/>
    </row>
    <row r="44" spans="1:25" s="143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6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1100000</v>
      </c>
      <c r="M44" s="141"/>
      <c r="N44" s="141"/>
      <c r="O44" s="141"/>
      <c r="P44" s="141"/>
      <c r="Q44" s="141">
        <f>L44-M44+N44-O44+P44</f>
        <v>1100000</v>
      </c>
      <c r="R44" s="141"/>
      <c r="S44" s="141">
        <v>1100000</v>
      </c>
      <c r="T44" s="141">
        <v>791836.35</v>
      </c>
      <c r="U44" s="141">
        <v>791836.34</v>
      </c>
      <c r="V44" s="141">
        <v>791836.34</v>
      </c>
      <c r="W44" s="141">
        <v>791836.34</v>
      </c>
      <c r="X44" s="144">
        <f t="shared" si="1"/>
        <v>0.71985122727272721</v>
      </c>
      <c r="Y44" s="142"/>
    </row>
    <row r="45" spans="1:25" s="143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88500000</v>
      </c>
      <c r="M45" s="141">
        <v>500000</v>
      </c>
      <c r="N45" s="141"/>
      <c r="O45" s="141"/>
      <c r="P45" s="141"/>
      <c r="Q45" s="141">
        <f>L45-M45+N45-O45+P45</f>
        <v>88000000</v>
      </c>
      <c r="R45" s="141"/>
      <c r="S45" s="141">
        <v>67500000</v>
      </c>
      <c r="T45" s="141">
        <v>52759620.519999996</v>
      </c>
      <c r="U45" s="141">
        <v>25729803.239999998</v>
      </c>
      <c r="V45" s="141">
        <v>25729803.239999998</v>
      </c>
      <c r="W45" s="141">
        <v>25729803.239999998</v>
      </c>
      <c r="X45" s="144">
        <f t="shared" si="1"/>
        <v>0.59954114227272726</v>
      </c>
      <c r="Y45" s="142"/>
    </row>
    <row r="46" spans="1:25" s="143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14000000</v>
      </c>
      <c r="M46" s="141"/>
      <c r="N46" s="141">
        <v>6000000</v>
      </c>
      <c r="O46" s="141"/>
      <c r="P46" s="141"/>
      <c r="Q46" s="141">
        <f>L46-M46+N46-O46+P46</f>
        <v>20000000</v>
      </c>
      <c r="R46" s="141"/>
      <c r="S46" s="141">
        <v>18000000</v>
      </c>
      <c r="T46" s="141">
        <v>11653728.539999999</v>
      </c>
      <c r="U46" s="141">
        <v>11653728.539999999</v>
      </c>
      <c r="V46" s="141">
        <v>11653728.539999999</v>
      </c>
      <c r="W46" s="141">
        <v>11653728.539999999</v>
      </c>
      <c r="X46" s="144">
        <f t="shared" si="1"/>
        <v>0.58268642699999995</v>
      </c>
      <c r="Y46" s="142"/>
    </row>
    <row r="47" spans="1:25" s="111" customFormat="1" x14ac:dyDescent="0.2">
      <c r="A47" s="112" t="s">
        <v>34</v>
      </c>
      <c r="B47" s="113" t="s">
        <v>44</v>
      </c>
      <c r="C47" s="113" t="s">
        <v>44</v>
      </c>
      <c r="D47" s="113" t="s">
        <v>44</v>
      </c>
      <c r="E47" s="114"/>
      <c r="F47" s="114"/>
      <c r="G47" s="114"/>
      <c r="H47" s="115"/>
      <c r="I47" s="116"/>
      <c r="J47" s="117"/>
      <c r="K47" s="121" t="s">
        <v>83</v>
      </c>
      <c r="L47" s="119">
        <f>SUM(L48:L53)</f>
        <v>4223400000</v>
      </c>
      <c r="M47" s="119">
        <f t="shared" ref="M47:W47" si="14">SUM(M48:M53)</f>
        <v>346500000</v>
      </c>
      <c r="N47" s="119">
        <f t="shared" si="14"/>
        <v>2909353863</v>
      </c>
      <c r="O47" s="119">
        <f t="shared" si="14"/>
        <v>0</v>
      </c>
      <c r="P47" s="119">
        <f t="shared" si="14"/>
        <v>0</v>
      </c>
      <c r="Q47" s="119">
        <f t="shared" si="14"/>
        <v>6786253863</v>
      </c>
      <c r="R47" s="119">
        <f>SUM(R48:R53)</f>
        <v>0</v>
      </c>
      <c r="S47" s="119">
        <f t="shared" si="14"/>
        <v>4863545671</v>
      </c>
      <c r="T47" s="119">
        <f t="shared" si="14"/>
        <v>3917762977.3899994</v>
      </c>
      <c r="U47" s="119">
        <f t="shared" si="14"/>
        <v>1827605609.4900002</v>
      </c>
      <c r="V47" s="119">
        <f t="shared" si="14"/>
        <v>1827605609.4900002</v>
      </c>
      <c r="W47" s="119">
        <f t="shared" si="14"/>
        <v>1827605609.4900002</v>
      </c>
      <c r="X47" s="122">
        <f t="shared" si="1"/>
        <v>0.57730863838596125</v>
      </c>
      <c r="Y47" s="110"/>
    </row>
    <row r="48" spans="1:25" s="143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12000000</v>
      </c>
      <c r="M48" s="141">
        <v>8000000</v>
      </c>
      <c r="N48" s="141"/>
      <c r="O48" s="141"/>
      <c r="P48" s="141"/>
      <c r="Q48" s="141">
        <f t="shared" ref="Q48:Q53" si="15">L48-M48+N48-O48+P48</f>
        <v>4000000</v>
      </c>
      <c r="R48" s="141"/>
      <c r="S48" s="141">
        <v>4000000</v>
      </c>
      <c r="T48" s="141">
        <v>3000000</v>
      </c>
      <c r="U48" s="141">
        <v>3000000</v>
      </c>
      <c r="V48" s="141">
        <v>3000000</v>
      </c>
      <c r="W48" s="141">
        <v>3000000</v>
      </c>
      <c r="X48" s="144">
        <f t="shared" si="1"/>
        <v>0.75</v>
      </c>
      <c r="Y48" s="142"/>
    </row>
    <row r="49" spans="1:25" s="143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330000000</v>
      </c>
      <c r="M49" s="141">
        <f>6000000+94000000+5000000</f>
        <v>105000000</v>
      </c>
      <c r="N49" s="141">
        <f>650000000+60000000</f>
        <v>710000000</v>
      </c>
      <c r="O49" s="141"/>
      <c r="P49" s="141"/>
      <c r="Q49" s="141">
        <f t="shared" si="15"/>
        <v>935000000</v>
      </c>
      <c r="R49" s="141"/>
      <c r="S49" s="141">
        <v>575000000</v>
      </c>
      <c r="T49" s="141">
        <v>252541699</v>
      </c>
      <c r="U49" s="141">
        <v>243540755</v>
      </c>
      <c r="V49" s="141">
        <v>243540755</v>
      </c>
      <c r="W49" s="141">
        <v>243540755</v>
      </c>
      <c r="X49" s="144">
        <f t="shared" si="1"/>
        <v>0.27009807379679146</v>
      </c>
      <c r="Y49" s="142"/>
    </row>
    <row r="50" spans="1:25" s="143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520000000</v>
      </c>
      <c r="M50" s="141"/>
      <c r="N50" s="141">
        <v>147500000</v>
      </c>
      <c r="O50" s="141"/>
      <c r="P50" s="141"/>
      <c r="Q50" s="141">
        <f t="shared" si="15"/>
        <v>667500000</v>
      </c>
      <c r="R50" s="141"/>
      <c r="S50" s="141">
        <v>654585022</v>
      </c>
      <c r="T50" s="141">
        <v>645870130.99000001</v>
      </c>
      <c r="U50" s="141">
        <v>155330590.96000001</v>
      </c>
      <c r="V50" s="141">
        <v>155330590.96000001</v>
      </c>
      <c r="W50" s="141">
        <v>155330590.96000001</v>
      </c>
      <c r="X50" s="144">
        <f t="shared" si="1"/>
        <v>0.96759570185767796</v>
      </c>
      <c r="Y50" s="142"/>
    </row>
    <row r="51" spans="1:25" s="143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6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2956400000</v>
      </c>
      <c r="M51" s="141">
        <f>103500000+130000000</f>
        <v>233500000</v>
      </c>
      <c r="N51" s="141">
        <f>1318353863+7500000</f>
        <v>1325853863</v>
      </c>
      <c r="O51" s="141"/>
      <c r="P51" s="141"/>
      <c r="Q51" s="141">
        <f t="shared" si="15"/>
        <v>4048753863</v>
      </c>
      <c r="R51" s="141"/>
      <c r="S51" s="141">
        <v>2990960649</v>
      </c>
      <c r="T51" s="141">
        <v>2513980109.3999996</v>
      </c>
      <c r="U51" s="141">
        <v>1224856849.5300002</v>
      </c>
      <c r="V51" s="141">
        <v>1224856849.5300002</v>
      </c>
      <c r="W51" s="141">
        <v>1224856849.5300002</v>
      </c>
      <c r="X51" s="144">
        <f t="shared" si="1"/>
        <v>0.62092688132373131</v>
      </c>
      <c r="Y51" s="142"/>
    </row>
    <row r="52" spans="1:25" s="143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6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355000000</v>
      </c>
      <c r="M52" s="141"/>
      <c r="N52" s="141">
        <f>50000000+600000000</f>
        <v>650000000</v>
      </c>
      <c r="O52" s="141"/>
      <c r="P52" s="141"/>
      <c r="Q52" s="141">
        <f t="shared" si="15"/>
        <v>1005000000</v>
      </c>
      <c r="R52" s="141"/>
      <c r="S52" s="141">
        <v>533000000</v>
      </c>
      <c r="T52" s="141">
        <v>408475121</v>
      </c>
      <c r="U52" s="141">
        <v>120229786</v>
      </c>
      <c r="V52" s="141">
        <v>120229786</v>
      </c>
      <c r="W52" s="141">
        <v>120229786</v>
      </c>
      <c r="X52" s="144">
        <f t="shared" si="1"/>
        <v>0.40644290646766168</v>
      </c>
      <c r="Y52" s="142"/>
    </row>
    <row r="53" spans="1:25" s="143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6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50000000</v>
      </c>
      <c r="M53" s="141"/>
      <c r="N53" s="141">
        <f>6000000+70000000</f>
        <v>76000000</v>
      </c>
      <c r="O53" s="141"/>
      <c r="P53" s="141"/>
      <c r="Q53" s="141">
        <f t="shared" si="15"/>
        <v>126000000</v>
      </c>
      <c r="R53" s="141"/>
      <c r="S53" s="141">
        <v>106000000</v>
      </c>
      <c r="T53" s="141">
        <v>93895917</v>
      </c>
      <c r="U53" s="141">
        <v>80647628</v>
      </c>
      <c r="V53" s="141">
        <v>80647628</v>
      </c>
      <c r="W53" s="141">
        <v>80647628</v>
      </c>
      <c r="X53" s="144">
        <f t="shared" si="1"/>
        <v>0.74520569047619045</v>
      </c>
      <c r="Y53" s="142"/>
    </row>
    <row r="54" spans="1:25" s="111" customFormat="1" x14ac:dyDescent="0.2">
      <c r="A54" s="154" t="s">
        <v>34</v>
      </c>
      <c r="B54" s="155" t="s">
        <v>63</v>
      </c>
      <c r="C54" s="155"/>
      <c r="D54" s="155"/>
      <c r="E54" s="155"/>
      <c r="F54" s="155"/>
      <c r="G54" s="155"/>
      <c r="H54" s="155"/>
      <c r="I54" s="156"/>
      <c r="J54" s="157"/>
      <c r="K54" s="158" t="s">
        <v>91</v>
      </c>
      <c r="L54" s="159">
        <f>L55+L59+L63</f>
        <v>15319893015</v>
      </c>
      <c r="M54" s="159">
        <f t="shared" ref="M54:W54" si="16">M55+M59+M63</f>
        <v>2568353863</v>
      </c>
      <c r="N54" s="159">
        <f t="shared" si="16"/>
        <v>0</v>
      </c>
      <c r="O54" s="159">
        <f t="shared" si="16"/>
        <v>0</v>
      </c>
      <c r="P54" s="159">
        <f t="shared" si="16"/>
        <v>0</v>
      </c>
      <c r="Q54" s="159">
        <f>+Q55+Q59+Q63</f>
        <v>12751539152</v>
      </c>
      <c r="R54" s="159">
        <f>R55+R59+R63</f>
        <v>190884090</v>
      </c>
      <c r="S54" s="159">
        <f t="shared" si="16"/>
        <v>12214995003.299999</v>
      </c>
      <c r="T54" s="159">
        <f t="shared" si="16"/>
        <v>10784914732.299999</v>
      </c>
      <c r="U54" s="159">
        <f t="shared" si="16"/>
        <v>10436747493</v>
      </c>
      <c r="V54" s="159">
        <f t="shared" si="16"/>
        <v>10436747493</v>
      </c>
      <c r="W54" s="159">
        <f t="shared" si="16"/>
        <v>10436747493</v>
      </c>
      <c r="X54" s="162">
        <f t="shared" si="1"/>
        <v>0.84577356535100723</v>
      </c>
      <c r="Y54" s="110"/>
    </row>
    <row r="55" spans="1:25" s="111" customFormat="1" x14ac:dyDescent="0.2">
      <c r="A55" s="103" t="s">
        <v>34</v>
      </c>
      <c r="B55" s="104" t="s">
        <v>63</v>
      </c>
      <c r="C55" s="104" t="s">
        <v>63</v>
      </c>
      <c r="D55" s="104"/>
      <c r="E55" s="104"/>
      <c r="F55" s="104"/>
      <c r="G55" s="104"/>
      <c r="H55" s="104"/>
      <c r="I55" s="105"/>
      <c r="J55" s="106"/>
      <c r="K55" s="107" t="s">
        <v>92</v>
      </c>
      <c r="L55" s="108">
        <f>L56+L57</f>
        <v>13902081559</v>
      </c>
      <c r="M55" s="108">
        <f t="shared" ref="M55:W55" si="17">M56+M57</f>
        <v>2568353863</v>
      </c>
      <c r="N55" s="108">
        <v>0</v>
      </c>
      <c r="O55" s="108">
        <f t="shared" si="17"/>
        <v>0</v>
      </c>
      <c r="P55" s="108">
        <f t="shared" si="17"/>
        <v>0</v>
      </c>
      <c r="Q55" s="108">
        <f>+Q56+Q57</f>
        <v>11333727696</v>
      </c>
      <c r="R55" s="108">
        <f>R56+R57</f>
        <v>190884090</v>
      </c>
      <c r="S55" s="108">
        <f>(S56+S57)+N55</f>
        <v>11142843606</v>
      </c>
      <c r="T55" s="108">
        <f t="shared" si="17"/>
        <v>10108843562</v>
      </c>
      <c r="U55" s="108">
        <f t="shared" si="17"/>
        <v>10108843562</v>
      </c>
      <c r="V55" s="108">
        <f t="shared" si="17"/>
        <v>10108843562</v>
      </c>
      <c r="W55" s="108">
        <f t="shared" si="17"/>
        <v>10108843562</v>
      </c>
      <c r="X55" s="109">
        <f t="shared" si="1"/>
        <v>0.8919257488044029</v>
      </c>
      <c r="Y55" s="110"/>
    </row>
    <row r="56" spans="1:25" s="172" customFormat="1" ht="24.75" x14ac:dyDescent="0.2">
      <c r="A56" s="163" t="s">
        <v>34</v>
      </c>
      <c r="B56" s="164" t="s">
        <v>63</v>
      </c>
      <c r="C56" s="164" t="s">
        <v>63</v>
      </c>
      <c r="D56" s="164" t="s">
        <v>36</v>
      </c>
      <c r="E56" s="165" t="s">
        <v>93</v>
      </c>
      <c r="F56" s="165"/>
      <c r="G56" s="165"/>
      <c r="H56" s="166">
        <v>10</v>
      </c>
      <c r="I56" s="167" t="s">
        <v>41</v>
      </c>
      <c r="J56" s="168" t="s">
        <v>42</v>
      </c>
      <c r="K56" s="121" t="s">
        <v>94</v>
      </c>
      <c r="L56" s="169">
        <v>2759237953</v>
      </c>
      <c r="M56" s="169">
        <v>2568353863</v>
      </c>
      <c r="N56" s="108">
        <v>0</v>
      </c>
      <c r="O56" s="169"/>
      <c r="P56" s="169"/>
      <c r="Q56" s="169">
        <f>L56-M56+N56-O56+P56</f>
        <v>190884090</v>
      </c>
      <c r="R56" s="169">
        <v>190884090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70">
        <f t="shared" si="1"/>
        <v>0</v>
      </c>
      <c r="Y56" s="171"/>
    </row>
    <row r="57" spans="1:25" s="172" customFormat="1" ht="16.5" x14ac:dyDescent="0.2">
      <c r="A57" s="163" t="s">
        <v>34</v>
      </c>
      <c r="B57" s="164" t="s">
        <v>63</v>
      </c>
      <c r="C57" s="164" t="s">
        <v>63</v>
      </c>
      <c r="D57" s="164" t="s">
        <v>95</v>
      </c>
      <c r="E57" s="173"/>
      <c r="F57" s="165"/>
      <c r="G57" s="165"/>
      <c r="H57" s="166"/>
      <c r="I57" s="167"/>
      <c r="J57" s="168"/>
      <c r="K57" s="121" t="s">
        <v>96</v>
      </c>
      <c r="L57" s="174">
        <f>SUM(L58)</f>
        <v>11142843606</v>
      </c>
      <c r="M57" s="174">
        <f t="shared" ref="M57:W57" si="18">SUM(M58)</f>
        <v>0</v>
      </c>
      <c r="N57" s="174">
        <f t="shared" si="18"/>
        <v>0</v>
      </c>
      <c r="O57" s="174">
        <f t="shared" si="18"/>
        <v>0</v>
      </c>
      <c r="P57" s="174">
        <f t="shared" si="18"/>
        <v>0</v>
      </c>
      <c r="Q57" s="174">
        <f t="shared" si="18"/>
        <v>11142843606</v>
      </c>
      <c r="R57" s="174">
        <f>SUM(R58)</f>
        <v>0</v>
      </c>
      <c r="S57" s="174">
        <f t="shared" si="18"/>
        <v>11142843606</v>
      </c>
      <c r="T57" s="174">
        <f t="shared" si="18"/>
        <v>10108843562</v>
      </c>
      <c r="U57" s="174">
        <f t="shared" si="18"/>
        <v>10108843562</v>
      </c>
      <c r="V57" s="174">
        <f t="shared" si="18"/>
        <v>10108843562</v>
      </c>
      <c r="W57" s="174">
        <f t="shared" si="18"/>
        <v>10108843562</v>
      </c>
      <c r="X57" s="170">
        <f t="shared" si="1"/>
        <v>0.9072050115247754</v>
      </c>
      <c r="Y57" s="171"/>
    </row>
    <row r="58" spans="1:25" s="184" customFormat="1" ht="16.5" x14ac:dyDescent="0.2">
      <c r="A58" s="175" t="s">
        <v>34</v>
      </c>
      <c r="B58" s="176" t="s">
        <v>63</v>
      </c>
      <c r="C58" s="176" t="s">
        <v>63</v>
      </c>
      <c r="D58" s="176" t="s">
        <v>95</v>
      </c>
      <c r="E58" s="177" t="s">
        <v>97</v>
      </c>
      <c r="F58" s="177"/>
      <c r="G58" s="177"/>
      <c r="H58" s="178">
        <v>10</v>
      </c>
      <c r="I58" s="179" t="s">
        <v>41</v>
      </c>
      <c r="J58" s="180" t="s">
        <v>42</v>
      </c>
      <c r="K58" s="140" t="s">
        <v>98</v>
      </c>
      <c r="L58" s="181">
        <v>11142843606</v>
      </c>
      <c r="M58" s="181"/>
      <c r="N58" s="181"/>
      <c r="O58" s="181"/>
      <c r="P58" s="181"/>
      <c r="Q58" s="181">
        <f>L58-M58+N58-O58+P58</f>
        <v>11142843606</v>
      </c>
      <c r="R58" s="181"/>
      <c r="S58" s="181">
        <v>11142843606</v>
      </c>
      <c r="T58" s="181">
        <v>10108843562</v>
      </c>
      <c r="U58" s="181">
        <v>10108843562</v>
      </c>
      <c r="V58" s="181">
        <v>10108843562</v>
      </c>
      <c r="W58" s="181">
        <v>10108843562</v>
      </c>
      <c r="X58" s="182">
        <f t="shared" si="1"/>
        <v>0.9072050115247754</v>
      </c>
      <c r="Y58" s="183"/>
    </row>
    <row r="59" spans="1:25" s="172" customFormat="1" x14ac:dyDescent="0.2">
      <c r="A59" s="163" t="s">
        <v>34</v>
      </c>
      <c r="B59" s="164" t="s">
        <v>63</v>
      </c>
      <c r="C59" s="164" t="s">
        <v>95</v>
      </c>
      <c r="D59" s="164"/>
      <c r="E59" s="165"/>
      <c r="F59" s="165"/>
      <c r="G59" s="165"/>
      <c r="H59" s="166"/>
      <c r="I59" s="167"/>
      <c r="J59" s="168"/>
      <c r="K59" s="121" t="s">
        <v>99</v>
      </c>
      <c r="L59" s="169">
        <f>L60</f>
        <v>1377811456</v>
      </c>
      <c r="M59" s="169">
        <f t="shared" ref="M59:W59" si="19">M60</f>
        <v>0</v>
      </c>
      <c r="N59" s="169">
        <f t="shared" si="19"/>
        <v>0</v>
      </c>
      <c r="O59" s="169">
        <f t="shared" si="19"/>
        <v>0</v>
      </c>
      <c r="P59" s="169">
        <f t="shared" si="19"/>
        <v>0</v>
      </c>
      <c r="Q59" s="169">
        <f t="shared" si="19"/>
        <v>1377811456</v>
      </c>
      <c r="R59" s="169">
        <f>R60</f>
        <v>0</v>
      </c>
      <c r="S59" s="169">
        <f t="shared" si="19"/>
        <v>1072151397.3</v>
      </c>
      <c r="T59" s="169">
        <f t="shared" si="19"/>
        <v>676071170.29999995</v>
      </c>
      <c r="U59" s="169">
        <f t="shared" si="19"/>
        <v>327903931</v>
      </c>
      <c r="V59" s="169">
        <f t="shared" si="19"/>
        <v>327903931</v>
      </c>
      <c r="W59" s="169">
        <f t="shared" si="19"/>
        <v>327903931</v>
      </c>
      <c r="X59" s="185">
        <f t="shared" si="1"/>
        <v>0.49068482291672855</v>
      </c>
      <c r="Y59" s="171"/>
    </row>
    <row r="60" spans="1:25" s="172" customFormat="1" ht="16.5" x14ac:dyDescent="0.2">
      <c r="A60" s="163" t="s">
        <v>34</v>
      </c>
      <c r="B60" s="164" t="s">
        <v>63</v>
      </c>
      <c r="C60" s="164" t="s">
        <v>95</v>
      </c>
      <c r="D60" s="164" t="s">
        <v>44</v>
      </c>
      <c r="E60" s="165"/>
      <c r="F60" s="165"/>
      <c r="G60" s="165"/>
      <c r="H60" s="166"/>
      <c r="I60" s="167"/>
      <c r="J60" s="168"/>
      <c r="K60" s="121" t="s">
        <v>100</v>
      </c>
      <c r="L60" s="169">
        <f>SUM(L61:L62)</f>
        <v>1377811456</v>
      </c>
      <c r="M60" s="169">
        <f t="shared" ref="M60:W60" si="20">SUM(M61:M62)</f>
        <v>0</v>
      </c>
      <c r="N60" s="169">
        <f t="shared" si="20"/>
        <v>0</v>
      </c>
      <c r="O60" s="169">
        <f t="shared" si="20"/>
        <v>0</v>
      </c>
      <c r="P60" s="169">
        <f t="shared" si="20"/>
        <v>0</v>
      </c>
      <c r="Q60" s="169">
        <f t="shared" si="20"/>
        <v>1377811456</v>
      </c>
      <c r="R60" s="169">
        <f>SUM(R61:R62)</f>
        <v>0</v>
      </c>
      <c r="S60" s="169">
        <f t="shared" si="20"/>
        <v>1072151397.3</v>
      </c>
      <c r="T60" s="169">
        <f t="shared" si="20"/>
        <v>676071170.29999995</v>
      </c>
      <c r="U60" s="169">
        <f t="shared" si="20"/>
        <v>327903931</v>
      </c>
      <c r="V60" s="169">
        <f t="shared" si="20"/>
        <v>327903931</v>
      </c>
      <c r="W60" s="169">
        <f t="shared" si="20"/>
        <v>327903931</v>
      </c>
      <c r="X60" s="185">
        <f t="shared" si="1"/>
        <v>0.49068482291672855</v>
      </c>
      <c r="Y60" s="171"/>
    </row>
    <row r="61" spans="1:25" s="184" customFormat="1" x14ac:dyDescent="0.2">
      <c r="A61" s="175" t="s">
        <v>34</v>
      </c>
      <c r="B61" s="176" t="s">
        <v>63</v>
      </c>
      <c r="C61" s="176" t="s">
        <v>95</v>
      </c>
      <c r="D61" s="176" t="s">
        <v>44</v>
      </c>
      <c r="E61" s="177" t="s">
        <v>40</v>
      </c>
      <c r="F61" s="177"/>
      <c r="G61" s="177"/>
      <c r="H61" s="178">
        <v>10</v>
      </c>
      <c r="I61" s="179" t="s">
        <v>41</v>
      </c>
      <c r="J61" s="180" t="s">
        <v>42</v>
      </c>
      <c r="K61" s="140" t="s">
        <v>101</v>
      </c>
      <c r="L61" s="181">
        <v>1318071456</v>
      </c>
      <c r="M61" s="181"/>
      <c r="N61" s="181"/>
      <c r="O61" s="181"/>
      <c r="P61" s="181"/>
      <c r="Q61" s="181">
        <f>L61-M61+N61-O61+P61</f>
        <v>1318071456</v>
      </c>
      <c r="R61" s="181"/>
      <c r="S61" s="181">
        <v>1017745857.3</v>
      </c>
      <c r="T61" s="181">
        <v>645748133.29999995</v>
      </c>
      <c r="U61" s="181">
        <v>306936493</v>
      </c>
      <c r="V61" s="181">
        <v>306936493</v>
      </c>
      <c r="W61" s="181">
        <v>306936493</v>
      </c>
      <c r="X61" s="182">
        <f t="shared" si="1"/>
        <v>0.48991891172552632</v>
      </c>
      <c r="Y61" s="183"/>
    </row>
    <row r="62" spans="1:25" s="184" customFormat="1" ht="24.75" x14ac:dyDescent="0.2">
      <c r="A62" s="175" t="s">
        <v>34</v>
      </c>
      <c r="B62" s="176" t="s">
        <v>63</v>
      </c>
      <c r="C62" s="176" t="s">
        <v>95</v>
      </c>
      <c r="D62" s="176" t="s">
        <v>44</v>
      </c>
      <c r="E62" s="179" t="s">
        <v>102</v>
      </c>
      <c r="F62" s="177"/>
      <c r="G62" s="177"/>
      <c r="H62" s="178">
        <v>10</v>
      </c>
      <c r="I62" s="179" t="s">
        <v>41</v>
      </c>
      <c r="J62" s="180" t="s">
        <v>42</v>
      </c>
      <c r="K62" s="140" t="s">
        <v>103</v>
      </c>
      <c r="L62" s="181">
        <v>59740000</v>
      </c>
      <c r="M62" s="181"/>
      <c r="N62" s="181"/>
      <c r="O62" s="181"/>
      <c r="P62" s="181"/>
      <c r="Q62" s="181">
        <f>L62-M62+N62-O62+P62</f>
        <v>59740000</v>
      </c>
      <c r="R62" s="181"/>
      <c r="S62" s="181">
        <v>54405540</v>
      </c>
      <c r="T62" s="181">
        <v>30323037</v>
      </c>
      <c r="U62" s="181">
        <v>20967438</v>
      </c>
      <c r="V62" s="181">
        <v>20967438</v>
      </c>
      <c r="W62" s="181">
        <v>20967438</v>
      </c>
      <c r="X62" s="182">
        <f t="shared" si="1"/>
        <v>0.50758347840642781</v>
      </c>
      <c r="Y62" s="183"/>
    </row>
    <row r="63" spans="1:25" s="172" customFormat="1" x14ac:dyDescent="0.2">
      <c r="A63" s="163" t="s">
        <v>34</v>
      </c>
      <c r="B63" s="164" t="s">
        <v>63</v>
      </c>
      <c r="C63" s="164">
        <v>10</v>
      </c>
      <c r="D63" s="164"/>
      <c r="E63" s="165"/>
      <c r="F63" s="165"/>
      <c r="G63" s="165"/>
      <c r="H63" s="166"/>
      <c r="I63" s="167"/>
      <c r="J63" s="168"/>
      <c r="K63" s="121" t="s">
        <v>104</v>
      </c>
      <c r="L63" s="169">
        <f>L64</f>
        <v>40000000</v>
      </c>
      <c r="M63" s="169">
        <f t="shared" ref="M63:W63" si="21">M64</f>
        <v>0</v>
      </c>
      <c r="N63" s="169">
        <f t="shared" si="21"/>
        <v>0</v>
      </c>
      <c r="O63" s="169">
        <f t="shared" si="21"/>
        <v>0</v>
      </c>
      <c r="P63" s="169">
        <f t="shared" si="21"/>
        <v>0</v>
      </c>
      <c r="Q63" s="169">
        <f t="shared" si="21"/>
        <v>40000000</v>
      </c>
      <c r="R63" s="169">
        <f>R64</f>
        <v>0</v>
      </c>
      <c r="S63" s="169">
        <f t="shared" si="21"/>
        <v>0</v>
      </c>
      <c r="T63" s="169">
        <f t="shared" si="21"/>
        <v>0</v>
      </c>
      <c r="U63" s="169">
        <f t="shared" si="21"/>
        <v>0</v>
      </c>
      <c r="V63" s="169">
        <f t="shared" si="21"/>
        <v>0</v>
      </c>
      <c r="W63" s="169">
        <f t="shared" si="21"/>
        <v>0</v>
      </c>
      <c r="X63" s="185">
        <f t="shared" si="1"/>
        <v>0</v>
      </c>
      <c r="Y63" s="171"/>
    </row>
    <row r="64" spans="1:25" s="172" customFormat="1" x14ac:dyDescent="0.2">
      <c r="A64" s="163" t="s">
        <v>34</v>
      </c>
      <c r="B64" s="164" t="s">
        <v>63</v>
      </c>
      <c r="C64" s="164">
        <v>10</v>
      </c>
      <c r="D64" s="164" t="s">
        <v>36</v>
      </c>
      <c r="E64" s="167"/>
      <c r="F64" s="165"/>
      <c r="G64" s="165"/>
      <c r="H64" s="166"/>
      <c r="I64" s="167"/>
      <c r="J64" s="168"/>
      <c r="K64" s="121" t="s">
        <v>105</v>
      </c>
      <c r="L64" s="174">
        <f>SUM(L65)</f>
        <v>40000000</v>
      </c>
      <c r="M64" s="174">
        <f t="shared" ref="M64:W64" si="22">SUM(M65)</f>
        <v>0</v>
      </c>
      <c r="N64" s="174">
        <f t="shared" si="22"/>
        <v>0</v>
      </c>
      <c r="O64" s="174">
        <f t="shared" si="22"/>
        <v>0</v>
      </c>
      <c r="P64" s="174">
        <f t="shared" si="22"/>
        <v>0</v>
      </c>
      <c r="Q64" s="174">
        <f t="shared" si="22"/>
        <v>40000000</v>
      </c>
      <c r="R64" s="174">
        <f>SUM(R65)</f>
        <v>0</v>
      </c>
      <c r="S64" s="174">
        <f t="shared" si="22"/>
        <v>0</v>
      </c>
      <c r="T64" s="174">
        <f t="shared" si="22"/>
        <v>0</v>
      </c>
      <c r="U64" s="174">
        <f t="shared" si="22"/>
        <v>0</v>
      </c>
      <c r="V64" s="174">
        <f t="shared" si="22"/>
        <v>0</v>
      </c>
      <c r="W64" s="174">
        <f t="shared" si="22"/>
        <v>0</v>
      </c>
      <c r="X64" s="170">
        <f t="shared" si="1"/>
        <v>0</v>
      </c>
      <c r="Y64" s="171"/>
    </row>
    <row r="65" spans="1:25" s="184" customFormat="1" x14ac:dyDescent="0.2">
      <c r="A65" s="186" t="s">
        <v>34</v>
      </c>
      <c r="B65" s="187" t="s">
        <v>63</v>
      </c>
      <c r="C65" s="187">
        <v>10</v>
      </c>
      <c r="D65" s="187" t="s">
        <v>36</v>
      </c>
      <c r="E65" s="188" t="s">
        <v>40</v>
      </c>
      <c r="F65" s="189"/>
      <c r="G65" s="189"/>
      <c r="H65" s="190">
        <v>10</v>
      </c>
      <c r="I65" s="188" t="s">
        <v>41</v>
      </c>
      <c r="J65" s="191" t="s">
        <v>42</v>
      </c>
      <c r="K65" s="151" t="s">
        <v>106</v>
      </c>
      <c r="L65" s="192">
        <v>40000000</v>
      </c>
      <c r="M65" s="192"/>
      <c r="N65" s="192"/>
      <c r="O65" s="192"/>
      <c r="P65" s="192"/>
      <c r="Q65" s="192">
        <f>L65-M65+N65-O65+P65</f>
        <v>40000000</v>
      </c>
      <c r="R65" s="192"/>
      <c r="S65" s="192">
        <v>0</v>
      </c>
      <c r="T65" s="192">
        <v>0</v>
      </c>
      <c r="U65" s="192">
        <v>0</v>
      </c>
      <c r="V65" s="192">
        <v>0</v>
      </c>
      <c r="W65" s="192">
        <v>0</v>
      </c>
      <c r="X65" s="193">
        <f t="shared" si="1"/>
        <v>0</v>
      </c>
      <c r="Y65" s="183"/>
    </row>
    <row r="66" spans="1:25" s="111" customFormat="1" ht="24.75" x14ac:dyDescent="0.2">
      <c r="A66" s="154" t="s">
        <v>34</v>
      </c>
      <c r="B66" s="155" t="s">
        <v>107</v>
      </c>
      <c r="C66" s="155"/>
      <c r="D66" s="155"/>
      <c r="E66" s="155"/>
      <c r="F66" s="155"/>
      <c r="G66" s="155"/>
      <c r="H66" s="155"/>
      <c r="I66" s="156"/>
      <c r="J66" s="157"/>
      <c r="K66" s="158" t="s">
        <v>108</v>
      </c>
      <c r="L66" s="159">
        <f>L67+L70+L71+L73</f>
        <v>1133990000</v>
      </c>
      <c r="M66" s="159">
        <f t="shared" ref="M66:W66" si="23">M67+M70+M71+M73</f>
        <v>0</v>
      </c>
      <c r="N66" s="159">
        <f t="shared" si="23"/>
        <v>0</v>
      </c>
      <c r="O66" s="159">
        <f t="shared" si="23"/>
        <v>0</v>
      </c>
      <c r="P66" s="159">
        <f t="shared" si="23"/>
        <v>0</v>
      </c>
      <c r="Q66" s="159">
        <f t="shared" si="23"/>
        <v>1133990000</v>
      </c>
      <c r="R66" s="159">
        <f>R67+R70+R71+R73</f>
        <v>0</v>
      </c>
      <c r="S66" s="159">
        <f t="shared" si="23"/>
        <v>1102363600</v>
      </c>
      <c r="T66" s="159">
        <f t="shared" si="23"/>
        <v>1101429080</v>
      </c>
      <c r="U66" s="159">
        <f t="shared" si="23"/>
        <v>1101429080</v>
      </c>
      <c r="V66" s="159">
        <f t="shared" si="23"/>
        <v>1101429080</v>
      </c>
      <c r="W66" s="159">
        <f t="shared" si="23"/>
        <v>1101429080</v>
      </c>
      <c r="X66" s="162">
        <f t="shared" si="1"/>
        <v>0.9712864134604362</v>
      </c>
      <c r="Y66" s="110"/>
    </row>
    <row r="67" spans="1:25" s="111" customFormat="1" x14ac:dyDescent="0.2">
      <c r="A67" s="112" t="s">
        <v>34</v>
      </c>
      <c r="B67" s="113" t="s">
        <v>107</v>
      </c>
      <c r="C67" s="113" t="s">
        <v>36</v>
      </c>
      <c r="D67" s="113"/>
      <c r="E67" s="114"/>
      <c r="F67" s="114"/>
      <c r="G67" s="114"/>
      <c r="H67" s="115"/>
      <c r="I67" s="116"/>
      <c r="J67" s="117"/>
      <c r="K67" s="121" t="s">
        <v>109</v>
      </c>
      <c r="L67" s="119">
        <f>L68</f>
        <v>20600000</v>
      </c>
      <c r="M67" s="119">
        <f t="shared" ref="M67:W68" si="24">M68</f>
        <v>0</v>
      </c>
      <c r="N67" s="119">
        <f t="shared" si="24"/>
        <v>0</v>
      </c>
      <c r="O67" s="119">
        <f t="shared" si="24"/>
        <v>0</v>
      </c>
      <c r="P67" s="119">
        <f t="shared" si="24"/>
        <v>0</v>
      </c>
      <c r="Q67" s="119">
        <f t="shared" si="24"/>
        <v>20600000</v>
      </c>
      <c r="R67" s="119">
        <f>R68</f>
        <v>0</v>
      </c>
      <c r="S67" s="119">
        <f t="shared" si="24"/>
        <v>2363600</v>
      </c>
      <c r="T67" s="119">
        <f t="shared" si="24"/>
        <v>1429080</v>
      </c>
      <c r="U67" s="119">
        <f t="shared" si="24"/>
        <v>1429080</v>
      </c>
      <c r="V67" s="119">
        <f t="shared" si="24"/>
        <v>1429080</v>
      </c>
      <c r="W67" s="119">
        <f t="shared" si="24"/>
        <v>1429080</v>
      </c>
      <c r="X67" s="122">
        <f t="shared" si="1"/>
        <v>6.9372815533980586E-2</v>
      </c>
      <c r="Y67" s="110"/>
    </row>
    <row r="68" spans="1:25" s="111" customFormat="1" x14ac:dyDescent="0.2">
      <c r="A68" s="112" t="s">
        <v>34</v>
      </c>
      <c r="B68" s="113" t="s">
        <v>107</v>
      </c>
      <c r="C68" s="113" t="s">
        <v>36</v>
      </c>
      <c r="D68" s="113" t="s">
        <v>44</v>
      </c>
      <c r="E68" s="114"/>
      <c r="F68" s="114"/>
      <c r="G68" s="114"/>
      <c r="H68" s="115"/>
      <c r="I68" s="116"/>
      <c r="J68" s="117"/>
      <c r="K68" s="121" t="s">
        <v>110</v>
      </c>
      <c r="L68" s="119">
        <f>L69</f>
        <v>20600000</v>
      </c>
      <c r="M68" s="119">
        <f t="shared" si="24"/>
        <v>0</v>
      </c>
      <c r="N68" s="119">
        <f t="shared" si="24"/>
        <v>0</v>
      </c>
      <c r="O68" s="119">
        <f t="shared" si="24"/>
        <v>0</v>
      </c>
      <c r="P68" s="119">
        <f t="shared" si="24"/>
        <v>0</v>
      </c>
      <c r="Q68" s="119">
        <f t="shared" si="24"/>
        <v>20600000</v>
      </c>
      <c r="R68" s="119">
        <f>R69</f>
        <v>0</v>
      </c>
      <c r="S68" s="119">
        <f t="shared" si="24"/>
        <v>2363600</v>
      </c>
      <c r="T68" s="119">
        <f t="shared" si="24"/>
        <v>1429080</v>
      </c>
      <c r="U68" s="119">
        <f t="shared" si="24"/>
        <v>1429080</v>
      </c>
      <c r="V68" s="119">
        <f t="shared" si="24"/>
        <v>1429080</v>
      </c>
      <c r="W68" s="119">
        <f t="shared" si="24"/>
        <v>1429080</v>
      </c>
      <c r="X68" s="122">
        <f t="shared" si="1"/>
        <v>6.9372815533980586E-2</v>
      </c>
      <c r="Y68" s="110"/>
    </row>
    <row r="69" spans="1:25" s="143" customFormat="1" ht="16.5" x14ac:dyDescent="0.2">
      <c r="A69" s="134" t="s">
        <v>34</v>
      </c>
      <c r="B69" s="135" t="s">
        <v>107</v>
      </c>
      <c r="C69" s="135" t="s">
        <v>36</v>
      </c>
      <c r="D69" s="135" t="s">
        <v>44</v>
      </c>
      <c r="E69" s="136" t="s">
        <v>55</v>
      </c>
      <c r="F69" s="136"/>
      <c r="G69" s="136"/>
      <c r="H69" s="137">
        <v>10</v>
      </c>
      <c r="I69" s="138" t="s">
        <v>41</v>
      </c>
      <c r="J69" s="139" t="s">
        <v>42</v>
      </c>
      <c r="K69" s="140" t="s">
        <v>111</v>
      </c>
      <c r="L69" s="141">
        <v>20600000</v>
      </c>
      <c r="M69" s="141"/>
      <c r="N69" s="141"/>
      <c r="O69" s="141"/>
      <c r="P69" s="141"/>
      <c r="Q69" s="141">
        <f>L69-M69+N69-O69+P69</f>
        <v>20600000</v>
      </c>
      <c r="R69" s="141"/>
      <c r="S69" s="141">
        <v>2363600</v>
      </c>
      <c r="T69" s="141">
        <v>1429080</v>
      </c>
      <c r="U69" s="141">
        <v>1429080</v>
      </c>
      <c r="V69" s="141">
        <v>1429080</v>
      </c>
      <c r="W69" s="141">
        <v>1429080</v>
      </c>
      <c r="X69" s="193">
        <f t="shared" si="1"/>
        <v>6.9372815533980586E-2</v>
      </c>
      <c r="Y69" s="142"/>
    </row>
    <row r="70" spans="1:25" s="111" customFormat="1" ht="16.5" x14ac:dyDescent="0.2">
      <c r="A70" s="112" t="s">
        <v>34</v>
      </c>
      <c r="B70" s="113" t="s">
        <v>107</v>
      </c>
      <c r="C70" s="113" t="s">
        <v>63</v>
      </c>
      <c r="D70" s="113"/>
      <c r="E70" s="114"/>
      <c r="F70" s="114"/>
      <c r="G70" s="114"/>
      <c r="H70" s="115"/>
      <c r="I70" s="116"/>
      <c r="J70" s="117"/>
      <c r="K70" s="121" t="s">
        <v>112</v>
      </c>
      <c r="L70" s="119">
        <v>11330000</v>
      </c>
      <c r="M70" s="119"/>
      <c r="N70" s="119"/>
      <c r="O70" s="119"/>
      <c r="P70" s="119"/>
      <c r="Q70" s="119">
        <f>L70-M70+N70-O70+P70</f>
        <v>11330000</v>
      </c>
      <c r="R70" s="119"/>
      <c r="S70" s="119">
        <v>0</v>
      </c>
      <c r="T70" s="119">
        <v>0</v>
      </c>
      <c r="U70" s="119">
        <v>0</v>
      </c>
      <c r="V70" s="119">
        <v>0</v>
      </c>
      <c r="W70" s="119">
        <v>0</v>
      </c>
      <c r="X70" s="122">
        <f t="shared" si="1"/>
        <v>0</v>
      </c>
      <c r="Y70" s="110"/>
    </row>
    <row r="71" spans="1:25" s="111" customFormat="1" x14ac:dyDescent="0.2">
      <c r="A71" s="112" t="s">
        <v>34</v>
      </c>
      <c r="B71" s="113" t="s">
        <v>107</v>
      </c>
      <c r="C71" s="113" t="s">
        <v>95</v>
      </c>
      <c r="D71" s="113"/>
      <c r="E71" s="114"/>
      <c r="F71" s="114"/>
      <c r="G71" s="114"/>
      <c r="H71" s="115"/>
      <c r="I71" s="116"/>
      <c r="J71" s="117"/>
      <c r="K71" s="121" t="s">
        <v>113</v>
      </c>
      <c r="L71" s="119">
        <f>L72</f>
        <v>1100000000</v>
      </c>
      <c r="M71" s="119">
        <f t="shared" ref="M71:W71" si="25">M72</f>
        <v>0</v>
      </c>
      <c r="N71" s="119">
        <f t="shared" si="25"/>
        <v>0</v>
      </c>
      <c r="O71" s="119">
        <f t="shared" si="25"/>
        <v>0</v>
      </c>
      <c r="P71" s="119">
        <f t="shared" si="25"/>
        <v>0</v>
      </c>
      <c r="Q71" s="119">
        <f t="shared" si="25"/>
        <v>1100000000</v>
      </c>
      <c r="R71" s="119">
        <f>R72</f>
        <v>0</v>
      </c>
      <c r="S71" s="119">
        <f t="shared" si="25"/>
        <v>1100000000</v>
      </c>
      <c r="T71" s="119">
        <f t="shared" si="25"/>
        <v>1100000000</v>
      </c>
      <c r="U71" s="119">
        <f t="shared" si="25"/>
        <v>1100000000</v>
      </c>
      <c r="V71" s="119">
        <f t="shared" si="25"/>
        <v>1100000000</v>
      </c>
      <c r="W71" s="119">
        <f t="shared" si="25"/>
        <v>1100000000</v>
      </c>
      <c r="X71" s="122">
        <f t="shared" si="1"/>
        <v>1</v>
      </c>
      <c r="Y71" s="110"/>
    </row>
    <row r="72" spans="1:25" s="111" customFormat="1" ht="16.5" x14ac:dyDescent="0.2">
      <c r="A72" s="112" t="s">
        <v>34</v>
      </c>
      <c r="B72" s="113" t="s">
        <v>107</v>
      </c>
      <c r="C72" s="113" t="s">
        <v>95</v>
      </c>
      <c r="D72" s="113" t="s">
        <v>36</v>
      </c>
      <c r="E72" s="194"/>
      <c r="F72" s="114"/>
      <c r="G72" s="114"/>
      <c r="H72" s="115">
        <v>11</v>
      </c>
      <c r="I72" s="116" t="s">
        <v>41</v>
      </c>
      <c r="J72" s="117" t="s">
        <v>114</v>
      </c>
      <c r="K72" s="121" t="s">
        <v>115</v>
      </c>
      <c r="L72" s="119">
        <v>1100000000</v>
      </c>
      <c r="M72" s="119"/>
      <c r="N72" s="119"/>
      <c r="O72" s="119"/>
      <c r="P72" s="119"/>
      <c r="Q72" s="119">
        <f>L72-M72+N72-O72+P72</f>
        <v>1100000000</v>
      </c>
      <c r="R72" s="119"/>
      <c r="S72" s="119">
        <v>1100000000</v>
      </c>
      <c r="T72" s="119">
        <v>1100000000</v>
      </c>
      <c r="U72" s="119">
        <v>1100000000</v>
      </c>
      <c r="V72" s="119">
        <v>1100000000</v>
      </c>
      <c r="W72" s="119">
        <v>1100000000</v>
      </c>
      <c r="X72" s="120">
        <f t="shared" si="1"/>
        <v>1</v>
      </c>
      <c r="Y72" s="110"/>
    </row>
    <row r="73" spans="1:25" s="111" customFormat="1" ht="16.5" x14ac:dyDescent="0.2">
      <c r="A73" s="112" t="s">
        <v>34</v>
      </c>
      <c r="B73" s="113" t="s">
        <v>107</v>
      </c>
      <c r="C73" s="113" t="s">
        <v>116</v>
      </c>
      <c r="D73" s="113"/>
      <c r="E73" s="194"/>
      <c r="F73" s="114"/>
      <c r="G73" s="114"/>
      <c r="H73" s="115"/>
      <c r="I73" s="116"/>
      <c r="J73" s="117"/>
      <c r="K73" s="121" t="s">
        <v>117</v>
      </c>
      <c r="L73" s="119">
        <f>L74</f>
        <v>2060000</v>
      </c>
      <c r="M73" s="119">
        <f t="shared" ref="M73:W74" si="26">M74</f>
        <v>0</v>
      </c>
      <c r="N73" s="119">
        <f t="shared" si="26"/>
        <v>0</v>
      </c>
      <c r="O73" s="119">
        <f t="shared" si="26"/>
        <v>0</v>
      </c>
      <c r="P73" s="119">
        <f t="shared" si="26"/>
        <v>0</v>
      </c>
      <c r="Q73" s="119">
        <f t="shared" si="26"/>
        <v>2060000</v>
      </c>
      <c r="R73" s="119">
        <f>R74</f>
        <v>0</v>
      </c>
      <c r="S73" s="119">
        <f t="shared" si="26"/>
        <v>0</v>
      </c>
      <c r="T73" s="119">
        <f t="shared" si="26"/>
        <v>0</v>
      </c>
      <c r="U73" s="119">
        <f t="shared" si="26"/>
        <v>0</v>
      </c>
      <c r="V73" s="119">
        <f t="shared" si="26"/>
        <v>0</v>
      </c>
      <c r="W73" s="119">
        <f t="shared" si="26"/>
        <v>0</v>
      </c>
      <c r="X73" s="120">
        <f t="shared" si="1"/>
        <v>0</v>
      </c>
      <c r="Y73" s="110"/>
    </row>
    <row r="74" spans="1:25" s="111" customFormat="1" x14ac:dyDescent="0.2">
      <c r="A74" s="112" t="s">
        <v>34</v>
      </c>
      <c r="B74" s="113" t="s">
        <v>107</v>
      </c>
      <c r="C74" s="113" t="s">
        <v>116</v>
      </c>
      <c r="D74" s="113" t="s">
        <v>44</v>
      </c>
      <c r="E74" s="194"/>
      <c r="F74" s="114"/>
      <c r="G74" s="114"/>
      <c r="H74" s="115"/>
      <c r="I74" s="116"/>
      <c r="J74" s="117"/>
      <c r="K74" s="121" t="s">
        <v>118</v>
      </c>
      <c r="L74" s="161">
        <f>L75</f>
        <v>2060000</v>
      </c>
      <c r="M74" s="161">
        <f t="shared" si="26"/>
        <v>0</v>
      </c>
      <c r="N74" s="161">
        <f t="shared" si="26"/>
        <v>0</v>
      </c>
      <c r="O74" s="161">
        <f t="shared" si="26"/>
        <v>0</v>
      </c>
      <c r="P74" s="161">
        <f t="shared" si="26"/>
        <v>0</v>
      </c>
      <c r="Q74" s="161">
        <f t="shared" si="26"/>
        <v>2060000</v>
      </c>
      <c r="R74" s="161">
        <f>R75</f>
        <v>0</v>
      </c>
      <c r="S74" s="161">
        <f t="shared" si="26"/>
        <v>0</v>
      </c>
      <c r="T74" s="161">
        <f t="shared" si="26"/>
        <v>0</v>
      </c>
      <c r="U74" s="161">
        <f t="shared" si="26"/>
        <v>0</v>
      </c>
      <c r="V74" s="161">
        <f t="shared" si="26"/>
        <v>0</v>
      </c>
      <c r="W74" s="161">
        <f t="shared" si="26"/>
        <v>0</v>
      </c>
      <c r="X74" s="120">
        <f t="shared" si="1"/>
        <v>0</v>
      </c>
      <c r="Y74" s="110"/>
    </row>
    <row r="75" spans="1:25" s="143" customFormat="1" ht="13.5" thickBot="1" x14ac:dyDescent="0.25">
      <c r="A75" s="134" t="s">
        <v>34</v>
      </c>
      <c r="B75" s="135" t="s">
        <v>107</v>
      </c>
      <c r="C75" s="135" t="s">
        <v>116</v>
      </c>
      <c r="D75" s="135" t="s">
        <v>44</v>
      </c>
      <c r="E75" s="136" t="s">
        <v>47</v>
      </c>
      <c r="F75" s="136"/>
      <c r="G75" s="136"/>
      <c r="H75" s="137">
        <v>10</v>
      </c>
      <c r="I75" s="138" t="s">
        <v>41</v>
      </c>
      <c r="J75" s="139" t="s">
        <v>42</v>
      </c>
      <c r="K75" s="140" t="s">
        <v>119</v>
      </c>
      <c r="L75" s="141">
        <v>2060000</v>
      </c>
      <c r="M75" s="141"/>
      <c r="N75" s="141"/>
      <c r="O75" s="141"/>
      <c r="P75" s="141"/>
      <c r="Q75" s="141">
        <f>L75-M75+N75-O75+P75</f>
        <v>2060000</v>
      </c>
      <c r="R75" s="141"/>
      <c r="S75" s="141">
        <v>0</v>
      </c>
      <c r="T75" s="141">
        <v>0</v>
      </c>
      <c r="U75" s="141">
        <v>0</v>
      </c>
      <c r="V75" s="141">
        <v>0</v>
      </c>
      <c r="W75" s="141">
        <v>0</v>
      </c>
      <c r="X75" s="144">
        <f t="shared" si="1"/>
        <v>0</v>
      </c>
      <c r="Y75" s="142"/>
    </row>
    <row r="76" spans="1:25" s="102" customFormat="1" ht="14.25" thickTop="1" thickBot="1" x14ac:dyDescent="0.25">
      <c r="A76" s="195" t="s">
        <v>120</v>
      </c>
      <c r="B76" s="196"/>
      <c r="C76" s="196"/>
      <c r="D76" s="196"/>
      <c r="E76" s="196"/>
      <c r="F76" s="196"/>
      <c r="G76" s="196"/>
      <c r="H76" s="196"/>
      <c r="I76" s="197"/>
      <c r="J76" s="198"/>
      <c r="K76" s="199" t="s">
        <v>121</v>
      </c>
      <c r="L76" s="200">
        <f>L77+L98+L134</f>
        <v>697862964025</v>
      </c>
      <c r="M76" s="200">
        <f t="shared" ref="M76:W76" si="27">M77+M98+M134</f>
        <v>73769313516</v>
      </c>
      <c r="N76" s="200">
        <f t="shared" si="27"/>
        <v>73769313516</v>
      </c>
      <c r="O76" s="200">
        <f t="shared" si="27"/>
        <v>0</v>
      </c>
      <c r="P76" s="200">
        <f t="shared" si="27"/>
        <v>29976828957</v>
      </c>
      <c r="Q76" s="200">
        <f t="shared" si="27"/>
        <v>727839792982</v>
      </c>
      <c r="R76" s="200">
        <f>R77+R98+R134</f>
        <v>1</v>
      </c>
      <c r="S76" s="200">
        <f t="shared" si="27"/>
        <v>704174300938.44006</v>
      </c>
      <c r="T76" s="200">
        <f t="shared" si="27"/>
        <v>511559868086.94</v>
      </c>
      <c r="U76" s="200">
        <f t="shared" si="27"/>
        <v>180413726482.05002</v>
      </c>
      <c r="V76" s="200">
        <f t="shared" si="27"/>
        <v>180393051293.53003</v>
      </c>
      <c r="W76" s="200">
        <f t="shared" si="27"/>
        <v>180393051293.53003</v>
      </c>
      <c r="X76" s="100">
        <f t="shared" si="1"/>
        <v>0.70284679818212581</v>
      </c>
      <c r="Y76" s="101"/>
    </row>
    <row r="77" spans="1:25" s="209" customFormat="1" ht="33.75" thickTop="1" x14ac:dyDescent="0.25">
      <c r="A77" s="201" t="s">
        <v>120</v>
      </c>
      <c r="B77" s="202" t="s">
        <v>122</v>
      </c>
      <c r="C77" s="202"/>
      <c r="D77" s="202"/>
      <c r="E77" s="202"/>
      <c r="F77" s="202"/>
      <c r="G77" s="202"/>
      <c r="H77" s="202"/>
      <c r="I77" s="203"/>
      <c r="J77" s="204"/>
      <c r="K77" s="205" t="s">
        <v>123</v>
      </c>
      <c r="L77" s="206">
        <f>L78</f>
        <v>70500000000</v>
      </c>
      <c r="M77" s="206">
        <f t="shared" ref="M77:W77" si="28">M78</f>
        <v>2715942852</v>
      </c>
      <c r="N77" s="206">
        <f t="shared" si="28"/>
        <v>2715942852</v>
      </c>
      <c r="O77" s="206">
        <f t="shared" si="28"/>
        <v>0</v>
      </c>
      <c r="P77" s="206">
        <f t="shared" si="28"/>
        <v>0</v>
      </c>
      <c r="Q77" s="206">
        <f t="shared" si="28"/>
        <v>70500000000</v>
      </c>
      <c r="R77" s="206">
        <f>R78</f>
        <v>0</v>
      </c>
      <c r="S77" s="206">
        <f t="shared" si="28"/>
        <v>67251196002.5</v>
      </c>
      <c r="T77" s="206">
        <f t="shared" si="28"/>
        <v>58227620458.5</v>
      </c>
      <c r="U77" s="206">
        <f t="shared" si="28"/>
        <v>21003389147.07</v>
      </c>
      <c r="V77" s="206">
        <f t="shared" si="28"/>
        <v>21003389147.07</v>
      </c>
      <c r="W77" s="206">
        <f t="shared" si="28"/>
        <v>21003389147.07</v>
      </c>
      <c r="X77" s="207">
        <f t="shared" si="1"/>
        <v>0.82592369444680847</v>
      </c>
      <c r="Y77" s="208"/>
    </row>
    <row r="78" spans="1:25" s="111" customFormat="1" x14ac:dyDescent="0.2">
      <c r="A78" s="112" t="s">
        <v>120</v>
      </c>
      <c r="B78" s="113" t="s">
        <v>122</v>
      </c>
      <c r="C78" s="113" t="s">
        <v>124</v>
      </c>
      <c r="D78" s="113"/>
      <c r="E78" s="114"/>
      <c r="F78" s="114"/>
      <c r="G78" s="114"/>
      <c r="H78" s="115"/>
      <c r="I78" s="116"/>
      <c r="J78" s="117"/>
      <c r="K78" s="118" t="s">
        <v>125</v>
      </c>
      <c r="L78" s="119">
        <f>L79+L81+L85+L91+L96</f>
        <v>70500000000</v>
      </c>
      <c r="M78" s="119">
        <f t="shared" ref="M78:W78" si="29">M79+M81+M85+M91+M96</f>
        <v>2715942852</v>
      </c>
      <c r="N78" s="119">
        <f t="shared" si="29"/>
        <v>2715942852</v>
      </c>
      <c r="O78" s="119">
        <f t="shared" si="29"/>
        <v>0</v>
      </c>
      <c r="P78" s="119">
        <f t="shared" si="29"/>
        <v>0</v>
      </c>
      <c r="Q78" s="119">
        <f t="shared" si="29"/>
        <v>70500000000</v>
      </c>
      <c r="R78" s="119">
        <f>R79+R81+R85+R91+R96</f>
        <v>0</v>
      </c>
      <c r="S78" s="119">
        <f t="shared" si="29"/>
        <v>67251196002.5</v>
      </c>
      <c r="T78" s="119">
        <f t="shared" si="29"/>
        <v>58227620458.5</v>
      </c>
      <c r="U78" s="119">
        <f t="shared" si="29"/>
        <v>21003389147.07</v>
      </c>
      <c r="V78" s="119">
        <f t="shared" si="29"/>
        <v>21003389147.07</v>
      </c>
      <c r="W78" s="119">
        <f t="shared" si="29"/>
        <v>21003389147.07</v>
      </c>
      <c r="X78" s="120">
        <f t="shared" ref="X78:X142" si="30">T78/Q78</f>
        <v>0.82592369444680847</v>
      </c>
      <c r="Y78" s="110"/>
    </row>
    <row r="79" spans="1:25" s="111" customFormat="1" ht="41.25" x14ac:dyDescent="0.2">
      <c r="A79" s="112" t="s">
        <v>120</v>
      </c>
      <c r="B79" s="113" t="s">
        <v>122</v>
      </c>
      <c r="C79" s="113" t="s">
        <v>124</v>
      </c>
      <c r="D79" s="113" t="s">
        <v>126</v>
      </c>
      <c r="E79" s="114"/>
      <c r="F79" s="114"/>
      <c r="G79" s="114"/>
      <c r="H79" s="115">
        <v>11</v>
      </c>
      <c r="I79" s="116" t="s">
        <v>41</v>
      </c>
      <c r="J79" s="117" t="s">
        <v>42</v>
      </c>
      <c r="K79" s="121" t="s">
        <v>127</v>
      </c>
      <c r="L79" s="119">
        <f>SUM(L80)</f>
        <v>31700000000</v>
      </c>
      <c r="M79" s="119">
        <f t="shared" ref="M79:W79" si="31">SUM(M80)</f>
        <v>0</v>
      </c>
      <c r="N79" s="119">
        <f t="shared" si="31"/>
        <v>0</v>
      </c>
      <c r="O79" s="119">
        <f t="shared" si="31"/>
        <v>0</v>
      </c>
      <c r="P79" s="119">
        <f t="shared" si="31"/>
        <v>0</v>
      </c>
      <c r="Q79" s="119">
        <f t="shared" si="31"/>
        <v>31700000000</v>
      </c>
      <c r="R79" s="119">
        <f>SUM(R80)</f>
        <v>0</v>
      </c>
      <c r="S79" s="119">
        <f t="shared" si="31"/>
        <v>28946549757</v>
      </c>
      <c r="T79" s="119">
        <f t="shared" si="31"/>
        <v>28257908063</v>
      </c>
      <c r="U79" s="119">
        <f t="shared" si="31"/>
        <v>6433983305</v>
      </c>
      <c r="V79" s="119">
        <f t="shared" si="31"/>
        <v>6433983305</v>
      </c>
      <c r="W79" s="119">
        <f t="shared" si="31"/>
        <v>6433983305</v>
      </c>
      <c r="X79" s="210">
        <f t="shared" si="30"/>
        <v>0.89141665813880122</v>
      </c>
      <c r="Y79" s="110"/>
    </row>
    <row r="80" spans="1:25" s="143" customFormat="1" ht="24.75" x14ac:dyDescent="0.2">
      <c r="A80" s="134" t="s">
        <v>120</v>
      </c>
      <c r="B80" s="135" t="s">
        <v>122</v>
      </c>
      <c r="C80" s="135" t="s">
        <v>124</v>
      </c>
      <c r="D80" s="135" t="s">
        <v>126</v>
      </c>
      <c r="E80" s="136" t="s">
        <v>128</v>
      </c>
      <c r="F80" s="136" t="s">
        <v>129</v>
      </c>
      <c r="G80" s="136"/>
      <c r="H80" s="137">
        <v>11</v>
      </c>
      <c r="I80" s="138"/>
      <c r="J80" s="139"/>
      <c r="K80" s="211" t="s">
        <v>130</v>
      </c>
      <c r="L80" s="141">
        <v>31700000000</v>
      </c>
      <c r="M80" s="141"/>
      <c r="N80" s="141"/>
      <c r="O80" s="141"/>
      <c r="P80" s="141"/>
      <c r="Q80" s="141">
        <f>L80-M80+N80-O80+P80</f>
        <v>31700000000</v>
      </c>
      <c r="R80" s="141"/>
      <c r="S80" s="141">
        <v>28946549757</v>
      </c>
      <c r="T80" s="141">
        <v>28257908063</v>
      </c>
      <c r="U80" s="141">
        <v>6433983305</v>
      </c>
      <c r="V80" s="141">
        <v>6433983305</v>
      </c>
      <c r="W80" s="141">
        <v>6433983305</v>
      </c>
      <c r="X80" s="144">
        <f t="shared" si="30"/>
        <v>0.89141665813880122</v>
      </c>
      <c r="Y80" s="142"/>
    </row>
    <row r="81" spans="1:25" s="111" customFormat="1" ht="33" x14ac:dyDescent="0.2">
      <c r="A81" s="112" t="s">
        <v>120</v>
      </c>
      <c r="B81" s="113" t="s">
        <v>122</v>
      </c>
      <c r="C81" s="113" t="s">
        <v>124</v>
      </c>
      <c r="D81" s="113" t="s">
        <v>131</v>
      </c>
      <c r="E81" s="114"/>
      <c r="F81" s="114"/>
      <c r="G81" s="114"/>
      <c r="H81" s="115"/>
      <c r="I81" s="116"/>
      <c r="J81" s="117"/>
      <c r="K81" s="121" t="s">
        <v>132</v>
      </c>
      <c r="L81" s="119">
        <f>SUM(L82:L84)</f>
        <v>9000000000</v>
      </c>
      <c r="M81" s="119">
        <f t="shared" ref="M81:W81" si="32">SUM(M82:M84)</f>
        <v>551313558</v>
      </c>
      <c r="N81" s="119">
        <f t="shared" si="32"/>
        <v>551313558</v>
      </c>
      <c r="O81" s="119">
        <f t="shared" si="32"/>
        <v>0</v>
      </c>
      <c r="P81" s="119">
        <f t="shared" si="32"/>
        <v>0</v>
      </c>
      <c r="Q81" s="119">
        <f t="shared" si="32"/>
        <v>9000000000</v>
      </c>
      <c r="R81" s="119">
        <f>SUM(R82:R84)</f>
        <v>0</v>
      </c>
      <c r="S81" s="119">
        <f t="shared" si="32"/>
        <v>8994865546</v>
      </c>
      <c r="T81" s="119">
        <f t="shared" si="32"/>
        <v>7396532022</v>
      </c>
      <c r="U81" s="119">
        <f t="shared" si="32"/>
        <v>4444725605</v>
      </c>
      <c r="V81" s="119">
        <f t="shared" si="32"/>
        <v>4444725605</v>
      </c>
      <c r="W81" s="119">
        <f t="shared" si="32"/>
        <v>4444725605</v>
      </c>
      <c r="X81" s="120">
        <f t="shared" si="30"/>
        <v>0.82183689133333337</v>
      </c>
      <c r="Y81" s="110"/>
    </row>
    <row r="82" spans="1:25" s="143" customFormat="1" ht="16.5" x14ac:dyDescent="0.2">
      <c r="A82" s="134" t="s">
        <v>120</v>
      </c>
      <c r="B82" s="135" t="s">
        <v>122</v>
      </c>
      <c r="C82" s="135" t="s">
        <v>124</v>
      </c>
      <c r="D82" s="135" t="s">
        <v>131</v>
      </c>
      <c r="E82" s="136" t="s">
        <v>128</v>
      </c>
      <c r="F82" s="136" t="s">
        <v>133</v>
      </c>
      <c r="G82" s="136"/>
      <c r="H82" s="137">
        <v>11</v>
      </c>
      <c r="I82" s="138" t="s">
        <v>41</v>
      </c>
      <c r="J82" s="139" t="s">
        <v>42</v>
      </c>
      <c r="K82" s="211" t="s">
        <v>134</v>
      </c>
      <c r="L82" s="141">
        <v>6859880000</v>
      </c>
      <c r="M82" s="141"/>
      <c r="N82" s="141">
        <f>203123760+107973740+145859818</f>
        <v>456957318</v>
      </c>
      <c r="O82" s="141"/>
      <c r="P82" s="141"/>
      <c r="Q82" s="141">
        <f>L82-M82+N82-O82+P82</f>
        <v>7316837318</v>
      </c>
      <c r="R82" s="141"/>
      <c r="S82" s="141">
        <v>7311702864</v>
      </c>
      <c r="T82" s="141">
        <v>6253926108</v>
      </c>
      <c r="U82" s="141">
        <v>3801102257</v>
      </c>
      <c r="V82" s="141">
        <v>3801102257</v>
      </c>
      <c r="W82" s="141">
        <v>3801102257</v>
      </c>
      <c r="X82" s="153">
        <f t="shared" si="30"/>
        <v>0.85473078547405257</v>
      </c>
      <c r="Y82" s="142"/>
    </row>
    <row r="83" spans="1:25" s="143" customFormat="1" ht="16.5" x14ac:dyDescent="0.2">
      <c r="A83" s="134" t="s">
        <v>120</v>
      </c>
      <c r="B83" s="135" t="s">
        <v>122</v>
      </c>
      <c r="C83" s="135" t="s">
        <v>124</v>
      </c>
      <c r="D83" s="135" t="s">
        <v>131</v>
      </c>
      <c r="E83" s="136" t="s">
        <v>128</v>
      </c>
      <c r="F83" s="136" t="s">
        <v>135</v>
      </c>
      <c r="G83" s="136"/>
      <c r="H83" s="137">
        <v>11</v>
      </c>
      <c r="I83" s="138" t="s">
        <v>41</v>
      </c>
      <c r="J83" s="139" t="s">
        <v>42</v>
      </c>
      <c r="K83" s="211" t="s">
        <v>136</v>
      </c>
      <c r="L83" s="141">
        <v>1620120000</v>
      </c>
      <c r="M83" s="141">
        <f>297480000+70267500+71209818</f>
        <v>438957318</v>
      </c>
      <c r="N83" s="141"/>
      <c r="O83" s="141"/>
      <c r="P83" s="141"/>
      <c r="Q83" s="141">
        <f>L83-M83+N83-O83+P83</f>
        <v>1181162682</v>
      </c>
      <c r="R83" s="141"/>
      <c r="S83" s="141">
        <v>1181162682</v>
      </c>
      <c r="T83" s="141">
        <v>1080605914</v>
      </c>
      <c r="U83" s="141">
        <v>609996682</v>
      </c>
      <c r="V83" s="141">
        <v>609996682</v>
      </c>
      <c r="W83" s="141">
        <v>609996682</v>
      </c>
      <c r="X83" s="153">
        <f t="shared" si="30"/>
        <v>0.91486628427023065</v>
      </c>
      <c r="Y83" s="142"/>
    </row>
    <row r="84" spans="1:25" s="143" customFormat="1" ht="24.75" x14ac:dyDescent="0.2">
      <c r="A84" s="134" t="s">
        <v>120</v>
      </c>
      <c r="B84" s="135" t="s">
        <v>122</v>
      </c>
      <c r="C84" s="135" t="s">
        <v>124</v>
      </c>
      <c r="D84" s="135" t="s">
        <v>131</v>
      </c>
      <c r="E84" s="136" t="s">
        <v>128</v>
      </c>
      <c r="F84" s="136" t="s">
        <v>129</v>
      </c>
      <c r="G84" s="136"/>
      <c r="H84" s="137">
        <v>11</v>
      </c>
      <c r="I84" s="138" t="s">
        <v>41</v>
      </c>
      <c r="J84" s="139" t="s">
        <v>42</v>
      </c>
      <c r="K84" s="211" t="s">
        <v>130</v>
      </c>
      <c r="L84" s="141">
        <v>520000000</v>
      </c>
      <c r="M84" s="141">
        <f>37706240+74650000</f>
        <v>112356240</v>
      </c>
      <c r="N84" s="141">
        <v>94356240</v>
      </c>
      <c r="O84" s="141"/>
      <c r="P84" s="141"/>
      <c r="Q84" s="141">
        <f>L84-M84+N84-O84+P84</f>
        <v>502000000</v>
      </c>
      <c r="R84" s="141"/>
      <c r="S84" s="141">
        <v>502000000</v>
      </c>
      <c r="T84" s="141">
        <v>62000000</v>
      </c>
      <c r="U84" s="141">
        <v>33626666</v>
      </c>
      <c r="V84" s="141">
        <v>33626666</v>
      </c>
      <c r="W84" s="141">
        <v>33626666</v>
      </c>
      <c r="X84" s="153">
        <f t="shared" si="30"/>
        <v>0.12350597609561753</v>
      </c>
      <c r="Y84" s="142"/>
    </row>
    <row r="85" spans="1:25" s="111" customFormat="1" ht="16.5" x14ac:dyDescent="0.2">
      <c r="A85" s="112" t="s">
        <v>120</v>
      </c>
      <c r="B85" s="113" t="s">
        <v>122</v>
      </c>
      <c r="C85" s="113" t="s">
        <v>124</v>
      </c>
      <c r="D85" s="113" t="s">
        <v>137</v>
      </c>
      <c r="E85" s="114"/>
      <c r="F85" s="114"/>
      <c r="G85" s="114"/>
      <c r="H85" s="115"/>
      <c r="I85" s="116"/>
      <c r="J85" s="117"/>
      <c r="K85" s="121" t="s">
        <v>138</v>
      </c>
      <c r="L85" s="119">
        <f>SUM(L86:L90)</f>
        <v>9000000000</v>
      </c>
      <c r="M85" s="119">
        <f t="shared" ref="M85:W85" si="33">SUM(M86:M90)</f>
        <v>1888102017</v>
      </c>
      <c r="N85" s="119">
        <f t="shared" si="33"/>
        <v>1888102017</v>
      </c>
      <c r="O85" s="119">
        <f t="shared" si="33"/>
        <v>0</v>
      </c>
      <c r="P85" s="119">
        <f t="shared" si="33"/>
        <v>0</v>
      </c>
      <c r="Q85" s="119">
        <f t="shared" si="33"/>
        <v>9000000000</v>
      </c>
      <c r="R85" s="119">
        <f>SUM(R86:R90)</f>
        <v>0</v>
      </c>
      <c r="S85" s="119">
        <f t="shared" si="33"/>
        <v>8971428762</v>
      </c>
      <c r="T85" s="119">
        <f t="shared" si="33"/>
        <v>6780283871</v>
      </c>
      <c r="U85" s="119">
        <f t="shared" si="33"/>
        <v>3839594818</v>
      </c>
      <c r="V85" s="119">
        <f t="shared" si="33"/>
        <v>3839594818</v>
      </c>
      <c r="W85" s="119">
        <f t="shared" si="33"/>
        <v>3839594818</v>
      </c>
      <c r="X85" s="120">
        <f t="shared" si="30"/>
        <v>0.75336487455555556</v>
      </c>
      <c r="Y85" s="110"/>
    </row>
    <row r="86" spans="1:25" s="143" customFormat="1" x14ac:dyDescent="0.2">
      <c r="A86" s="134" t="s">
        <v>120</v>
      </c>
      <c r="B86" s="135" t="s">
        <v>122</v>
      </c>
      <c r="C86" s="135" t="s">
        <v>124</v>
      </c>
      <c r="D86" s="135" t="s">
        <v>137</v>
      </c>
      <c r="E86" s="136" t="s">
        <v>128</v>
      </c>
      <c r="F86" s="136" t="s">
        <v>139</v>
      </c>
      <c r="G86" s="136"/>
      <c r="H86" s="137">
        <v>11</v>
      </c>
      <c r="I86" s="138" t="s">
        <v>41</v>
      </c>
      <c r="J86" s="139" t="s">
        <v>42</v>
      </c>
      <c r="K86" s="211" t="s">
        <v>140</v>
      </c>
      <c r="L86" s="141">
        <v>70000000</v>
      </c>
      <c r="M86" s="141">
        <v>70000000</v>
      </c>
      <c r="N86" s="141"/>
      <c r="O86" s="141"/>
      <c r="P86" s="141"/>
      <c r="Q86" s="141">
        <f>L86-M86+N86-O86+P86</f>
        <v>0</v>
      </c>
      <c r="R86" s="141"/>
      <c r="S86" s="141">
        <v>0</v>
      </c>
      <c r="T86" s="141">
        <v>0</v>
      </c>
      <c r="U86" s="141">
        <v>0</v>
      </c>
      <c r="V86" s="141">
        <v>0</v>
      </c>
      <c r="W86" s="141">
        <v>0</v>
      </c>
      <c r="X86" s="153">
        <v>0</v>
      </c>
      <c r="Y86" s="142"/>
    </row>
    <row r="87" spans="1:25" s="143" customFormat="1" ht="16.5" x14ac:dyDescent="0.2">
      <c r="A87" s="134" t="s">
        <v>120</v>
      </c>
      <c r="B87" s="135" t="s">
        <v>122</v>
      </c>
      <c r="C87" s="135" t="s">
        <v>124</v>
      </c>
      <c r="D87" s="135" t="s">
        <v>137</v>
      </c>
      <c r="E87" s="136" t="s">
        <v>128</v>
      </c>
      <c r="F87" s="136" t="s">
        <v>141</v>
      </c>
      <c r="G87" s="136"/>
      <c r="H87" s="137">
        <v>11</v>
      </c>
      <c r="I87" s="138" t="s">
        <v>41</v>
      </c>
      <c r="J87" s="139" t="s">
        <v>42</v>
      </c>
      <c r="K87" s="211" t="s">
        <v>142</v>
      </c>
      <c r="L87" s="141">
        <v>600000000</v>
      </c>
      <c r="M87" s="141"/>
      <c r="N87" s="141">
        <f>126946500+190000000+141526750</f>
        <v>458473250</v>
      </c>
      <c r="O87" s="141"/>
      <c r="P87" s="141"/>
      <c r="Q87" s="141">
        <f>L87-M87+N87-O87+P87</f>
        <v>1058473250</v>
      </c>
      <c r="R87" s="141"/>
      <c r="S87" s="141">
        <v>1058473250</v>
      </c>
      <c r="T87" s="141">
        <v>0</v>
      </c>
      <c r="U87" s="141">
        <v>0</v>
      </c>
      <c r="V87" s="141">
        <v>0</v>
      </c>
      <c r="W87" s="141">
        <v>0</v>
      </c>
      <c r="X87" s="153">
        <f t="shared" si="30"/>
        <v>0</v>
      </c>
      <c r="Y87" s="142"/>
    </row>
    <row r="88" spans="1:25" s="143" customFormat="1" ht="16.5" x14ac:dyDescent="0.2">
      <c r="A88" s="134" t="s">
        <v>120</v>
      </c>
      <c r="B88" s="135" t="s">
        <v>122</v>
      </c>
      <c r="C88" s="135" t="s">
        <v>124</v>
      </c>
      <c r="D88" s="135" t="s">
        <v>137</v>
      </c>
      <c r="E88" s="136" t="s">
        <v>128</v>
      </c>
      <c r="F88" s="136" t="s">
        <v>133</v>
      </c>
      <c r="G88" s="136"/>
      <c r="H88" s="137">
        <v>11</v>
      </c>
      <c r="I88" s="138" t="s">
        <v>41</v>
      </c>
      <c r="J88" s="139" t="s">
        <v>42</v>
      </c>
      <c r="K88" s="211" t="s">
        <v>134</v>
      </c>
      <c r="L88" s="141">
        <v>6506773256</v>
      </c>
      <c r="M88" s="141">
        <f>821573256+486600000+190000000+53402011+141526750</f>
        <v>1693102017</v>
      </c>
      <c r="N88" s="141"/>
      <c r="O88" s="141"/>
      <c r="P88" s="141"/>
      <c r="Q88" s="141">
        <f>L88-M88+N88-O88+P88</f>
        <v>4813671239</v>
      </c>
      <c r="R88" s="141"/>
      <c r="S88" s="141">
        <v>4837000000</v>
      </c>
      <c r="T88" s="141">
        <v>4682556667</v>
      </c>
      <c r="U88" s="141">
        <v>2764190460</v>
      </c>
      <c r="V88" s="141">
        <v>2764190460</v>
      </c>
      <c r="W88" s="141">
        <v>2764190460</v>
      </c>
      <c r="X88" s="153">
        <f t="shared" si="30"/>
        <v>0.9727620426302237</v>
      </c>
      <c r="Y88" s="142"/>
    </row>
    <row r="89" spans="1:25" s="143" customFormat="1" ht="16.5" x14ac:dyDescent="0.2">
      <c r="A89" s="134" t="s">
        <v>120</v>
      </c>
      <c r="B89" s="135" t="s">
        <v>122</v>
      </c>
      <c r="C89" s="135" t="s">
        <v>124</v>
      </c>
      <c r="D89" s="135" t="s">
        <v>137</v>
      </c>
      <c r="E89" s="136" t="s">
        <v>128</v>
      </c>
      <c r="F89" s="136" t="s">
        <v>135</v>
      </c>
      <c r="G89" s="136"/>
      <c r="H89" s="137">
        <v>11</v>
      </c>
      <c r="I89" s="138" t="s">
        <v>41</v>
      </c>
      <c r="J89" s="139" t="s">
        <v>42</v>
      </c>
      <c r="K89" s="211" t="s">
        <v>136</v>
      </c>
      <c r="L89" s="141">
        <v>610000000</v>
      </c>
      <c r="M89" s="141">
        <v>125000000</v>
      </c>
      <c r="N89" s="141"/>
      <c r="O89" s="141"/>
      <c r="P89" s="141"/>
      <c r="Q89" s="141">
        <f>L89-M89+N89-O89+P89</f>
        <v>485000000</v>
      </c>
      <c r="R89" s="141"/>
      <c r="S89" s="141">
        <v>485000000</v>
      </c>
      <c r="T89" s="141">
        <v>409564251</v>
      </c>
      <c r="U89" s="141">
        <v>0</v>
      </c>
      <c r="V89" s="141">
        <v>0</v>
      </c>
      <c r="W89" s="141">
        <v>0</v>
      </c>
      <c r="X89" s="153">
        <f t="shared" si="30"/>
        <v>0.84446237319587625</v>
      </c>
      <c r="Y89" s="142"/>
    </row>
    <row r="90" spans="1:25" s="143" customFormat="1" ht="24.75" x14ac:dyDescent="0.2">
      <c r="A90" s="134" t="s">
        <v>120</v>
      </c>
      <c r="B90" s="135" t="s">
        <v>122</v>
      </c>
      <c r="C90" s="135" t="s">
        <v>124</v>
      </c>
      <c r="D90" s="135" t="s">
        <v>137</v>
      </c>
      <c r="E90" s="136" t="s">
        <v>128</v>
      </c>
      <c r="F90" s="136" t="s">
        <v>129</v>
      </c>
      <c r="G90" s="136"/>
      <c r="H90" s="137">
        <v>11</v>
      </c>
      <c r="I90" s="138" t="s">
        <v>41</v>
      </c>
      <c r="J90" s="139" t="s">
        <v>42</v>
      </c>
      <c r="K90" s="211" t="s">
        <v>130</v>
      </c>
      <c r="L90" s="141">
        <v>1213226744</v>
      </c>
      <c r="M90" s="141"/>
      <c r="N90" s="141">
        <f>764626756+486600000+125000000+53402011</f>
        <v>1429628767</v>
      </c>
      <c r="O90" s="141"/>
      <c r="P90" s="141"/>
      <c r="Q90" s="141">
        <f>L90-M90+N90-O90+P90</f>
        <v>2642855511</v>
      </c>
      <c r="R90" s="141"/>
      <c r="S90" s="141">
        <v>2590955512</v>
      </c>
      <c r="T90" s="141">
        <v>1688162953</v>
      </c>
      <c r="U90" s="141">
        <v>1075404358</v>
      </c>
      <c r="V90" s="141">
        <v>1075404358</v>
      </c>
      <c r="W90" s="141">
        <v>1075404358</v>
      </c>
      <c r="X90" s="153">
        <f t="shared" si="30"/>
        <v>0.63876475500593499</v>
      </c>
      <c r="Y90" s="142"/>
    </row>
    <row r="91" spans="1:25" s="111" customFormat="1" ht="16.5" x14ac:dyDescent="0.2">
      <c r="A91" s="112" t="s">
        <v>120</v>
      </c>
      <c r="B91" s="113" t="s">
        <v>122</v>
      </c>
      <c r="C91" s="113" t="s">
        <v>124</v>
      </c>
      <c r="D91" s="113" t="s">
        <v>143</v>
      </c>
      <c r="E91" s="114"/>
      <c r="F91" s="114"/>
      <c r="G91" s="114"/>
      <c r="H91" s="115"/>
      <c r="I91" s="116"/>
      <c r="J91" s="117"/>
      <c r="K91" s="121" t="s">
        <v>144</v>
      </c>
      <c r="L91" s="119">
        <f>SUM(L92:L95)</f>
        <v>11800000000</v>
      </c>
      <c r="M91" s="119">
        <f t="shared" ref="M91:W91" si="34">SUM(M92:M95)</f>
        <v>276527277</v>
      </c>
      <c r="N91" s="119">
        <f t="shared" si="34"/>
        <v>276527277</v>
      </c>
      <c r="O91" s="119">
        <f t="shared" si="34"/>
        <v>0</v>
      </c>
      <c r="P91" s="119">
        <f t="shared" si="34"/>
        <v>0</v>
      </c>
      <c r="Q91" s="119">
        <f t="shared" si="34"/>
        <v>11800000000</v>
      </c>
      <c r="R91" s="119">
        <f>SUM(R92:R95)</f>
        <v>0</v>
      </c>
      <c r="S91" s="119">
        <f t="shared" si="34"/>
        <v>11481207322.5</v>
      </c>
      <c r="T91" s="119">
        <f t="shared" si="34"/>
        <v>8931807630.5</v>
      </c>
      <c r="U91" s="119">
        <f t="shared" si="34"/>
        <v>2271895224</v>
      </c>
      <c r="V91" s="119">
        <f t="shared" si="34"/>
        <v>2271895224</v>
      </c>
      <c r="W91" s="119">
        <f t="shared" si="34"/>
        <v>2271895224</v>
      </c>
      <c r="X91" s="120">
        <f t="shared" si="30"/>
        <v>0.75693285004237287</v>
      </c>
      <c r="Y91" s="110"/>
    </row>
    <row r="92" spans="1:25" s="143" customFormat="1" ht="16.5" x14ac:dyDescent="0.2">
      <c r="A92" s="134" t="s">
        <v>120</v>
      </c>
      <c r="B92" s="135" t="s">
        <v>122</v>
      </c>
      <c r="C92" s="135" t="s">
        <v>124</v>
      </c>
      <c r="D92" s="135" t="s">
        <v>143</v>
      </c>
      <c r="E92" s="136" t="s">
        <v>128</v>
      </c>
      <c r="F92" s="136" t="s">
        <v>145</v>
      </c>
      <c r="G92" s="136"/>
      <c r="H92" s="137">
        <v>11</v>
      </c>
      <c r="I92" s="138" t="s">
        <v>41</v>
      </c>
      <c r="J92" s="139" t="s">
        <v>42</v>
      </c>
      <c r="K92" s="211" t="s">
        <v>146</v>
      </c>
      <c r="L92" s="141">
        <v>240000000</v>
      </c>
      <c r="M92" s="141"/>
      <c r="N92" s="141"/>
      <c r="O92" s="141"/>
      <c r="P92" s="141"/>
      <c r="Q92" s="141">
        <f>L92-M92+N92-O92+P92</f>
        <v>240000000</v>
      </c>
      <c r="R92" s="141"/>
      <c r="S92" s="141">
        <v>240000000</v>
      </c>
      <c r="T92" s="141">
        <v>158250210</v>
      </c>
      <c r="U92" s="141">
        <v>41546723</v>
      </c>
      <c r="V92" s="141">
        <v>41546723</v>
      </c>
      <c r="W92" s="141">
        <v>41546723</v>
      </c>
      <c r="X92" s="153">
        <f t="shared" si="30"/>
        <v>0.65937587499999994</v>
      </c>
      <c r="Y92" s="142"/>
    </row>
    <row r="93" spans="1:25" s="143" customFormat="1" ht="16.5" x14ac:dyDescent="0.2">
      <c r="A93" s="134" t="s">
        <v>120</v>
      </c>
      <c r="B93" s="135" t="s">
        <v>122</v>
      </c>
      <c r="C93" s="135" t="s">
        <v>124</v>
      </c>
      <c r="D93" s="135" t="s">
        <v>143</v>
      </c>
      <c r="E93" s="136" t="s">
        <v>128</v>
      </c>
      <c r="F93" s="136" t="s">
        <v>141</v>
      </c>
      <c r="G93" s="136"/>
      <c r="H93" s="137">
        <v>11</v>
      </c>
      <c r="I93" s="138" t="s">
        <v>41</v>
      </c>
      <c r="J93" s="139" t="s">
        <v>42</v>
      </c>
      <c r="K93" s="211" t="s">
        <v>147</v>
      </c>
      <c r="L93" s="141">
        <v>5650000000</v>
      </c>
      <c r="M93" s="141">
        <v>64740500</v>
      </c>
      <c r="N93" s="141">
        <v>211786777</v>
      </c>
      <c r="O93" s="141"/>
      <c r="P93" s="141"/>
      <c r="Q93" s="141">
        <f>L93-M93+N93-O93+P93</f>
        <v>5797046277</v>
      </c>
      <c r="R93" s="141"/>
      <c r="S93" s="141">
        <v>5320753426</v>
      </c>
      <c r="T93" s="141">
        <v>5129683676</v>
      </c>
      <c r="U93" s="141">
        <v>0</v>
      </c>
      <c r="V93" s="141">
        <v>0</v>
      </c>
      <c r="W93" s="141">
        <v>0</v>
      </c>
      <c r="X93" s="153">
        <f t="shared" si="30"/>
        <v>0.88487885569453084</v>
      </c>
      <c r="Y93" s="142"/>
    </row>
    <row r="94" spans="1:25" s="143" customFormat="1" ht="16.5" x14ac:dyDescent="0.2">
      <c r="A94" s="134" t="s">
        <v>120</v>
      </c>
      <c r="B94" s="135" t="s">
        <v>122</v>
      </c>
      <c r="C94" s="135" t="s">
        <v>124</v>
      </c>
      <c r="D94" s="135" t="s">
        <v>143</v>
      </c>
      <c r="E94" s="136" t="s">
        <v>128</v>
      </c>
      <c r="F94" s="136" t="s">
        <v>133</v>
      </c>
      <c r="G94" s="136"/>
      <c r="H94" s="137">
        <v>11</v>
      </c>
      <c r="I94" s="138" t="s">
        <v>41</v>
      </c>
      <c r="J94" s="139" t="s">
        <v>42</v>
      </c>
      <c r="K94" s="211" t="s">
        <v>148</v>
      </c>
      <c r="L94" s="141">
        <v>4700000000</v>
      </c>
      <c r="M94" s="141">
        <v>186527277</v>
      </c>
      <c r="N94" s="141"/>
      <c r="O94" s="141"/>
      <c r="P94" s="141"/>
      <c r="Q94" s="141">
        <f>L94-M94+N94-O94+P94</f>
        <v>4513472723</v>
      </c>
      <c r="R94" s="141"/>
      <c r="S94" s="141">
        <v>4670972896.5</v>
      </c>
      <c r="T94" s="141">
        <v>3519133244.5</v>
      </c>
      <c r="U94" s="141">
        <v>2230348501</v>
      </c>
      <c r="V94" s="141">
        <v>2230348501</v>
      </c>
      <c r="W94" s="141">
        <v>2230348501</v>
      </c>
      <c r="X94" s="153">
        <f t="shared" si="30"/>
        <v>0.77969525030405284</v>
      </c>
      <c r="Y94" s="142"/>
    </row>
    <row r="95" spans="1:25" s="143" customFormat="1" ht="24.75" x14ac:dyDescent="0.2">
      <c r="A95" s="134" t="s">
        <v>120</v>
      </c>
      <c r="B95" s="135" t="s">
        <v>122</v>
      </c>
      <c r="C95" s="135" t="s">
        <v>124</v>
      </c>
      <c r="D95" s="135" t="s">
        <v>143</v>
      </c>
      <c r="E95" s="136" t="s">
        <v>128</v>
      </c>
      <c r="F95" s="136" t="s">
        <v>129</v>
      </c>
      <c r="G95" s="136"/>
      <c r="H95" s="137">
        <v>11</v>
      </c>
      <c r="I95" s="138" t="s">
        <v>41</v>
      </c>
      <c r="J95" s="139" t="s">
        <v>42</v>
      </c>
      <c r="K95" s="211" t="s">
        <v>149</v>
      </c>
      <c r="L95" s="141">
        <v>1210000000</v>
      </c>
      <c r="M95" s="141">
        <v>25259500</v>
      </c>
      <c r="N95" s="141">
        <v>64740500</v>
      </c>
      <c r="O95" s="141"/>
      <c r="P95" s="141"/>
      <c r="Q95" s="141">
        <f>L95-M95+N95-O95+P95</f>
        <v>1249481000</v>
      </c>
      <c r="R95" s="141"/>
      <c r="S95" s="141">
        <v>1249481000</v>
      </c>
      <c r="T95" s="141">
        <v>124740500</v>
      </c>
      <c r="U95" s="141">
        <v>0</v>
      </c>
      <c r="V95" s="141">
        <v>0</v>
      </c>
      <c r="W95" s="141">
        <v>0</v>
      </c>
      <c r="X95" s="153">
        <f t="shared" si="30"/>
        <v>9.983385101494141E-2</v>
      </c>
      <c r="Y95" s="142"/>
    </row>
    <row r="96" spans="1:25" s="111" customFormat="1" ht="24.75" x14ac:dyDescent="0.2">
      <c r="A96" s="112" t="s">
        <v>120</v>
      </c>
      <c r="B96" s="113" t="s">
        <v>122</v>
      </c>
      <c r="C96" s="113" t="s">
        <v>124</v>
      </c>
      <c r="D96" s="113" t="s">
        <v>150</v>
      </c>
      <c r="E96" s="114"/>
      <c r="F96" s="114"/>
      <c r="G96" s="114"/>
      <c r="H96" s="115">
        <v>11</v>
      </c>
      <c r="I96" s="116" t="s">
        <v>41</v>
      </c>
      <c r="J96" s="117" t="s">
        <v>42</v>
      </c>
      <c r="K96" s="121" t="s">
        <v>151</v>
      </c>
      <c r="L96" s="119">
        <f>SUM(L97)</f>
        <v>9000000000</v>
      </c>
      <c r="M96" s="119">
        <f t="shared" ref="M96:W96" si="35">SUM(M97)</f>
        <v>0</v>
      </c>
      <c r="N96" s="119">
        <f t="shared" si="35"/>
        <v>0</v>
      </c>
      <c r="O96" s="119">
        <f t="shared" si="35"/>
        <v>0</v>
      </c>
      <c r="P96" s="119">
        <f t="shared" si="35"/>
        <v>0</v>
      </c>
      <c r="Q96" s="119">
        <f t="shared" si="35"/>
        <v>9000000000</v>
      </c>
      <c r="R96" s="119">
        <f>SUM(R97)</f>
        <v>0</v>
      </c>
      <c r="S96" s="119">
        <f t="shared" si="35"/>
        <v>8857144615</v>
      </c>
      <c r="T96" s="119">
        <f t="shared" si="35"/>
        <v>6861088872</v>
      </c>
      <c r="U96" s="119">
        <f t="shared" si="35"/>
        <v>4013190195.0699997</v>
      </c>
      <c r="V96" s="119">
        <f t="shared" si="35"/>
        <v>4013190195.0699997</v>
      </c>
      <c r="W96" s="119">
        <f t="shared" si="35"/>
        <v>4013190195.0699997</v>
      </c>
      <c r="X96" s="120">
        <f t="shared" si="30"/>
        <v>0.76234320799999999</v>
      </c>
      <c r="Y96" s="110"/>
    </row>
    <row r="97" spans="1:25" s="143" customFormat="1" x14ac:dyDescent="0.2">
      <c r="A97" s="145" t="s">
        <v>120</v>
      </c>
      <c r="B97" s="146" t="s">
        <v>122</v>
      </c>
      <c r="C97" s="146" t="s">
        <v>124</v>
      </c>
      <c r="D97" s="146" t="s">
        <v>150</v>
      </c>
      <c r="E97" s="147" t="s">
        <v>128</v>
      </c>
      <c r="F97" s="147" t="s">
        <v>152</v>
      </c>
      <c r="G97" s="147"/>
      <c r="H97" s="148"/>
      <c r="I97" s="149"/>
      <c r="J97" s="150"/>
      <c r="K97" s="212" t="s">
        <v>153</v>
      </c>
      <c r="L97" s="152">
        <v>9000000000</v>
      </c>
      <c r="M97" s="152"/>
      <c r="N97" s="152"/>
      <c r="O97" s="152"/>
      <c r="P97" s="152"/>
      <c r="Q97" s="152">
        <f>L97-M97+N97-O97+P97</f>
        <v>9000000000</v>
      </c>
      <c r="R97" s="152"/>
      <c r="S97" s="152">
        <v>8857144615</v>
      </c>
      <c r="T97" s="152">
        <v>6861088872</v>
      </c>
      <c r="U97" s="152">
        <v>4013190195.0699997</v>
      </c>
      <c r="V97" s="152">
        <v>4013190195.0699997</v>
      </c>
      <c r="W97" s="152">
        <v>4013190195.0699997</v>
      </c>
      <c r="X97" s="153">
        <f t="shared" si="30"/>
        <v>0.76234320799999999</v>
      </c>
      <c r="Y97" s="142"/>
    </row>
    <row r="98" spans="1:25" s="209" customFormat="1" ht="16.5" x14ac:dyDescent="0.25">
      <c r="A98" s="213" t="s">
        <v>120</v>
      </c>
      <c r="B98" s="214" t="s">
        <v>154</v>
      </c>
      <c r="C98" s="214"/>
      <c r="D98" s="214"/>
      <c r="E98" s="214"/>
      <c r="F98" s="214"/>
      <c r="G98" s="214"/>
      <c r="H98" s="214"/>
      <c r="I98" s="215"/>
      <c r="J98" s="216"/>
      <c r="K98" s="158" t="s">
        <v>155</v>
      </c>
      <c r="L98" s="217">
        <f>L99</f>
        <v>614985340042</v>
      </c>
      <c r="M98" s="217">
        <f t="shared" ref="M98:W98" si="36">M99</f>
        <v>71053370664</v>
      </c>
      <c r="N98" s="217">
        <f t="shared" si="36"/>
        <v>71053370664</v>
      </c>
      <c r="O98" s="217">
        <f t="shared" si="36"/>
        <v>0</v>
      </c>
      <c r="P98" s="217">
        <f t="shared" si="36"/>
        <v>29976828957</v>
      </c>
      <c r="Q98" s="217">
        <f t="shared" si="36"/>
        <v>644962168999</v>
      </c>
      <c r="R98" s="217">
        <f>R99</f>
        <v>1</v>
      </c>
      <c r="S98" s="217">
        <f t="shared" si="36"/>
        <v>625763022847.29004</v>
      </c>
      <c r="T98" s="217">
        <f t="shared" si="36"/>
        <v>443172340446.78998</v>
      </c>
      <c r="U98" s="217">
        <f t="shared" si="36"/>
        <v>152939885344.25</v>
      </c>
      <c r="V98" s="217">
        <f t="shared" si="36"/>
        <v>152919210155.73001</v>
      </c>
      <c r="W98" s="217">
        <f t="shared" si="36"/>
        <v>152919210155.73001</v>
      </c>
      <c r="X98" s="218">
        <f t="shared" si="30"/>
        <v>0.68712920191056526</v>
      </c>
      <c r="Y98" s="208"/>
    </row>
    <row r="99" spans="1:25" s="111" customFormat="1" x14ac:dyDescent="0.2">
      <c r="A99" s="112" t="s">
        <v>120</v>
      </c>
      <c r="B99" s="113" t="s">
        <v>154</v>
      </c>
      <c r="C99" s="113" t="s">
        <v>124</v>
      </c>
      <c r="D99" s="113"/>
      <c r="E99" s="114"/>
      <c r="F99" s="114"/>
      <c r="G99" s="114"/>
      <c r="H99" s="115"/>
      <c r="I99" s="116"/>
      <c r="J99" s="117"/>
      <c r="K99" s="219" t="s">
        <v>125</v>
      </c>
      <c r="L99" s="119">
        <f>L100+L103+L105+L110+L116+L118+L121+L124+L128+L132</f>
        <v>614985340042</v>
      </c>
      <c r="M99" s="119">
        <f t="shared" ref="M99:W99" si="37">M100+M103+M105+M110+M116+M118+M121+M124+M128+M132</f>
        <v>71053370664</v>
      </c>
      <c r="N99" s="119">
        <f t="shared" si="37"/>
        <v>71053370664</v>
      </c>
      <c r="O99" s="119">
        <f t="shared" si="37"/>
        <v>0</v>
      </c>
      <c r="P99" s="119">
        <f t="shared" si="37"/>
        <v>29976828957</v>
      </c>
      <c r="Q99" s="119">
        <f t="shared" si="37"/>
        <v>644962168999</v>
      </c>
      <c r="R99" s="119">
        <f>R100+R103+R105+R110+R116+R118+R121+R124+R128+R132</f>
        <v>1</v>
      </c>
      <c r="S99" s="119">
        <f t="shared" si="37"/>
        <v>625763022847.29004</v>
      </c>
      <c r="T99" s="119">
        <f t="shared" si="37"/>
        <v>443172340446.78998</v>
      </c>
      <c r="U99" s="119">
        <f t="shared" si="37"/>
        <v>152939885344.25</v>
      </c>
      <c r="V99" s="119">
        <f t="shared" si="37"/>
        <v>152919210155.73001</v>
      </c>
      <c r="W99" s="119">
        <f t="shared" si="37"/>
        <v>152919210155.73001</v>
      </c>
      <c r="X99" s="120">
        <f t="shared" si="30"/>
        <v>0.68712920191056526</v>
      </c>
      <c r="Y99" s="110"/>
    </row>
    <row r="100" spans="1:25" s="111" customFormat="1" ht="33" x14ac:dyDescent="0.2">
      <c r="A100" s="112" t="s">
        <v>120</v>
      </c>
      <c r="B100" s="113" t="s">
        <v>154</v>
      </c>
      <c r="C100" s="113" t="s">
        <v>124</v>
      </c>
      <c r="D100" s="113" t="s">
        <v>156</v>
      </c>
      <c r="E100" s="114"/>
      <c r="F100" s="114"/>
      <c r="G100" s="114"/>
      <c r="H100" s="115"/>
      <c r="I100" s="116"/>
      <c r="J100" s="117"/>
      <c r="K100" s="219" t="s">
        <v>157</v>
      </c>
      <c r="L100" s="119">
        <f>SUM(L101:L102)</f>
        <v>241721312229</v>
      </c>
      <c r="M100" s="119">
        <f t="shared" ref="M100:W100" si="38">SUM(M101:M102)</f>
        <v>0</v>
      </c>
      <c r="N100" s="119">
        <f t="shared" si="38"/>
        <v>0</v>
      </c>
      <c r="O100" s="119">
        <f t="shared" si="38"/>
        <v>0</v>
      </c>
      <c r="P100" s="119">
        <f>+P102</f>
        <v>29976828957</v>
      </c>
      <c r="Q100" s="119">
        <f>SUM(Q101:Q102)</f>
        <v>271698141186</v>
      </c>
      <c r="R100" s="119">
        <f>SUM(R101:R102)</f>
        <v>0</v>
      </c>
      <c r="S100" s="119">
        <f t="shared" si="38"/>
        <v>270562330838.33002</v>
      </c>
      <c r="T100" s="119">
        <f t="shared" si="38"/>
        <v>155174176965.33002</v>
      </c>
      <c r="U100" s="119">
        <f t="shared" si="38"/>
        <v>37790776740.209999</v>
      </c>
      <c r="V100" s="119">
        <f t="shared" si="38"/>
        <v>37770101551.690002</v>
      </c>
      <c r="W100" s="119">
        <f t="shared" si="38"/>
        <v>37770101551.690002</v>
      </c>
      <c r="X100" s="120">
        <f t="shared" si="30"/>
        <v>0.57112712029597723</v>
      </c>
      <c r="Y100" s="110"/>
    </row>
    <row r="101" spans="1:25" s="143" customFormat="1" ht="24.75" x14ac:dyDescent="0.2">
      <c r="A101" s="134" t="s">
        <v>120</v>
      </c>
      <c r="B101" s="135" t="s">
        <v>154</v>
      </c>
      <c r="C101" s="135" t="s">
        <v>124</v>
      </c>
      <c r="D101" s="135" t="s">
        <v>156</v>
      </c>
      <c r="E101" s="136" t="s">
        <v>128</v>
      </c>
      <c r="F101" s="136" t="s">
        <v>158</v>
      </c>
      <c r="G101" s="136"/>
      <c r="H101" s="137">
        <v>10</v>
      </c>
      <c r="I101" s="138" t="s">
        <v>41</v>
      </c>
      <c r="J101" s="139" t="s">
        <v>42</v>
      </c>
      <c r="K101" s="220" t="s">
        <v>159</v>
      </c>
      <c r="L101" s="141">
        <v>71721312229</v>
      </c>
      <c r="M101" s="141"/>
      <c r="N101" s="141"/>
      <c r="O101" s="141"/>
      <c r="P101" s="141"/>
      <c r="Q101" s="141">
        <f>L101-M101+N101-O101+P101</f>
        <v>71721312229</v>
      </c>
      <c r="R101" s="141"/>
      <c r="S101" s="141">
        <v>71705041881</v>
      </c>
      <c r="T101" s="141">
        <v>71705041881</v>
      </c>
      <c r="U101" s="141">
        <v>0</v>
      </c>
      <c r="V101" s="141">
        <v>0</v>
      </c>
      <c r="W101" s="141">
        <v>0</v>
      </c>
      <c r="X101" s="153">
        <f t="shared" si="30"/>
        <v>0.99977314486455504</v>
      </c>
      <c r="Y101" s="142"/>
    </row>
    <row r="102" spans="1:25" s="143" customFormat="1" ht="24.75" x14ac:dyDescent="0.2">
      <c r="A102" s="134" t="s">
        <v>120</v>
      </c>
      <c r="B102" s="135" t="s">
        <v>154</v>
      </c>
      <c r="C102" s="135" t="s">
        <v>124</v>
      </c>
      <c r="D102" s="135" t="s">
        <v>156</v>
      </c>
      <c r="E102" s="136" t="s">
        <v>128</v>
      </c>
      <c r="F102" s="136" t="s">
        <v>158</v>
      </c>
      <c r="G102" s="136"/>
      <c r="H102" s="137">
        <v>11</v>
      </c>
      <c r="I102" s="138" t="s">
        <v>41</v>
      </c>
      <c r="J102" s="139" t="s">
        <v>42</v>
      </c>
      <c r="K102" s="220" t="s">
        <v>159</v>
      </c>
      <c r="L102" s="141">
        <v>170000000000</v>
      </c>
      <c r="M102" s="141"/>
      <c r="N102" s="141"/>
      <c r="O102" s="141"/>
      <c r="P102" s="141">
        <f>17476828957+12500000000</f>
        <v>29976828957</v>
      </c>
      <c r="Q102" s="141">
        <f>L102-M102+N102-O102+P102</f>
        <v>199976828957</v>
      </c>
      <c r="R102" s="141"/>
      <c r="S102" s="141">
        <v>198857288957.33002</v>
      </c>
      <c r="T102" s="141">
        <v>83469135084.330002</v>
      </c>
      <c r="U102" s="141">
        <v>37790776740.209999</v>
      </c>
      <c r="V102" s="141">
        <v>37770101551.690002</v>
      </c>
      <c r="W102" s="141">
        <v>37770101551.690002</v>
      </c>
      <c r="X102" s="153">
        <f t="shared" si="30"/>
        <v>0.41739403269704783</v>
      </c>
      <c r="Y102" s="142"/>
    </row>
    <row r="103" spans="1:25" s="111" customFormat="1" ht="24.75" x14ac:dyDescent="0.2">
      <c r="A103" s="112" t="s">
        <v>120</v>
      </c>
      <c r="B103" s="113" t="s">
        <v>154</v>
      </c>
      <c r="C103" s="113" t="s">
        <v>124</v>
      </c>
      <c r="D103" s="113" t="s">
        <v>160</v>
      </c>
      <c r="E103" s="114"/>
      <c r="F103" s="114"/>
      <c r="G103" s="114"/>
      <c r="H103" s="115"/>
      <c r="I103" s="116"/>
      <c r="J103" s="117"/>
      <c r="K103" s="219" t="s">
        <v>161</v>
      </c>
      <c r="L103" s="119">
        <f>SUM(L104)</f>
        <v>215264027813</v>
      </c>
      <c r="M103" s="119">
        <f t="shared" ref="M103:W103" si="39">SUM(M104)</f>
        <v>45000000000</v>
      </c>
      <c r="N103" s="119">
        <f t="shared" si="39"/>
        <v>0</v>
      </c>
      <c r="O103" s="119">
        <f t="shared" si="39"/>
        <v>0</v>
      </c>
      <c r="P103" s="119">
        <f t="shared" si="39"/>
        <v>0</v>
      </c>
      <c r="Q103" s="119">
        <f>SUM(Q104)</f>
        <v>170264027813</v>
      </c>
      <c r="R103" s="119">
        <f>SUM(R104)</f>
        <v>1</v>
      </c>
      <c r="S103" s="119">
        <f>SUM(S104)</f>
        <v>163727080300</v>
      </c>
      <c r="T103" s="119">
        <f t="shared" si="39"/>
        <v>114321977789</v>
      </c>
      <c r="U103" s="119">
        <f t="shared" si="39"/>
        <v>9762477851.8299999</v>
      </c>
      <c r="V103" s="119">
        <f t="shared" si="39"/>
        <v>9762477851.8299999</v>
      </c>
      <c r="W103" s="119">
        <f t="shared" si="39"/>
        <v>9762477851.8299999</v>
      </c>
      <c r="X103" s="120">
        <f t="shared" si="30"/>
        <v>0.67143940653488576</v>
      </c>
      <c r="Y103" s="110"/>
    </row>
    <row r="104" spans="1:25" s="143" customFormat="1" ht="24.75" x14ac:dyDescent="0.2">
      <c r="A104" s="134" t="s">
        <v>120</v>
      </c>
      <c r="B104" s="135" t="s">
        <v>154</v>
      </c>
      <c r="C104" s="135" t="s">
        <v>124</v>
      </c>
      <c r="D104" s="135" t="s">
        <v>160</v>
      </c>
      <c r="E104" s="136" t="s">
        <v>128</v>
      </c>
      <c r="F104" s="136" t="s">
        <v>158</v>
      </c>
      <c r="G104" s="136"/>
      <c r="H104" s="137">
        <v>11</v>
      </c>
      <c r="I104" s="138" t="s">
        <v>41</v>
      </c>
      <c r="J104" s="139" t="s">
        <v>42</v>
      </c>
      <c r="K104" s="220" t="s">
        <v>159</v>
      </c>
      <c r="L104" s="141">
        <v>215264027813</v>
      </c>
      <c r="M104" s="141">
        <v>45000000000</v>
      </c>
      <c r="N104" s="141"/>
      <c r="O104" s="141"/>
      <c r="P104" s="141"/>
      <c r="Q104" s="141">
        <f>L104-M104+N104-O104+P104</f>
        <v>170264027813</v>
      </c>
      <c r="R104" s="141">
        <v>1</v>
      </c>
      <c r="S104" s="141">
        <v>163727080300</v>
      </c>
      <c r="T104" s="141">
        <v>114321977789</v>
      </c>
      <c r="U104" s="141">
        <v>9762477851.8299999</v>
      </c>
      <c r="V104" s="141">
        <v>9762477851.8299999</v>
      </c>
      <c r="W104" s="141">
        <v>9762477851.8299999</v>
      </c>
      <c r="X104" s="153">
        <f t="shared" si="30"/>
        <v>0.67143940653488576</v>
      </c>
      <c r="Y104" s="142"/>
    </row>
    <row r="105" spans="1:25" s="111" customFormat="1" ht="33" x14ac:dyDescent="0.2">
      <c r="A105" s="112" t="s">
        <v>120</v>
      </c>
      <c r="B105" s="113" t="s">
        <v>154</v>
      </c>
      <c r="C105" s="113" t="s">
        <v>124</v>
      </c>
      <c r="D105" s="113" t="s">
        <v>162</v>
      </c>
      <c r="E105" s="114"/>
      <c r="F105" s="114"/>
      <c r="G105" s="114"/>
      <c r="H105" s="115"/>
      <c r="I105" s="116"/>
      <c r="J105" s="117"/>
      <c r="K105" s="219" t="s">
        <v>163</v>
      </c>
      <c r="L105" s="119">
        <f>SUM(L106:L109)</f>
        <v>20000000000</v>
      </c>
      <c r="M105" s="119">
        <f>SUM(M106:M109)</f>
        <v>7840809850</v>
      </c>
      <c r="N105" s="119">
        <f t="shared" ref="N105:W105" si="40">SUM(N106:N109)</f>
        <v>7840809850</v>
      </c>
      <c r="O105" s="119">
        <f t="shared" si="40"/>
        <v>0</v>
      </c>
      <c r="P105" s="119">
        <f t="shared" si="40"/>
        <v>0</v>
      </c>
      <c r="Q105" s="119">
        <f t="shared" si="40"/>
        <v>20000000000</v>
      </c>
      <c r="R105" s="119">
        <f t="shared" si="40"/>
        <v>0</v>
      </c>
      <c r="S105" s="119">
        <f t="shared" si="40"/>
        <v>18506228991</v>
      </c>
      <c r="T105" s="119">
        <f t="shared" si="40"/>
        <v>14416228798</v>
      </c>
      <c r="U105" s="119">
        <f t="shared" si="40"/>
        <v>10469140840</v>
      </c>
      <c r="V105" s="119">
        <f t="shared" si="40"/>
        <v>10469140840</v>
      </c>
      <c r="W105" s="119">
        <f t="shared" si="40"/>
        <v>10469140840</v>
      </c>
      <c r="X105" s="120">
        <f t="shared" si="30"/>
        <v>0.72081143989999996</v>
      </c>
      <c r="Y105" s="110"/>
    </row>
    <row r="106" spans="1:25" s="143" customFormat="1" x14ac:dyDescent="0.2">
      <c r="A106" s="134" t="s">
        <v>120</v>
      </c>
      <c r="B106" s="135" t="s">
        <v>154</v>
      </c>
      <c r="C106" s="135" t="s">
        <v>124</v>
      </c>
      <c r="D106" s="135" t="s">
        <v>162</v>
      </c>
      <c r="E106" s="136" t="s">
        <v>128</v>
      </c>
      <c r="F106" s="136" t="s">
        <v>164</v>
      </c>
      <c r="G106" s="136"/>
      <c r="H106" s="137">
        <v>11</v>
      </c>
      <c r="I106" s="138" t="s">
        <v>41</v>
      </c>
      <c r="J106" s="139" t="s">
        <v>42</v>
      </c>
      <c r="K106" s="220" t="s">
        <v>165</v>
      </c>
      <c r="L106" s="141">
        <v>6500000000</v>
      </c>
      <c r="M106" s="141">
        <v>35406000</v>
      </c>
      <c r="N106" s="141">
        <f>1000000000+462933617+1371054000</f>
        <v>2833987617</v>
      </c>
      <c r="O106" s="141"/>
      <c r="P106" s="141"/>
      <c r="Q106" s="141">
        <f>L106-M106+N106-O106+P106</f>
        <v>9298581617</v>
      </c>
      <c r="R106" s="141"/>
      <c r="S106" s="141">
        <v>7927527617</v>
      </c>
      <c r="T106" s="141">
        <v>7927527617</v>
      </c>
      <c r="U106" s="141">
        <v>5541103683</v>
      </c>
      <c r="V106" s="141">
        <v>5541103683</v>
      </c>
      <c r="W106" s="141">
        <v>5541103683</v>
      </c>
      <c r="X106" s="153">
        <f t="shared" si="30"/>
        <v>0.85255235083451975</v>
      </c>
      <c r="Y106" s="142"/>
    </row>
    <row r="107" spans="1:25" s="143" customFormat="1" ht="16.5" x14ac:dyDescent="0.2">
      <c r="A107" s="134" t="s">
        <v>120</v>
      </c>
      <c r="B107" s="135" t="s">
        <v>154</v>
      </c>
      <c r="C107" s="135" t="s">
        <v>124</v>
      </c>
      <c r="D107" s="135" t="s">
        <v>162</v>
      </c>
      <c r="E107" s="136" t="s">
        <v>128</v>
      </c>
      <c r="F107" s="136" t="s">
        <v>166</v>
      </c>
      <c r="G107" s="136"/>
      <c r="H107" s="137">
        <v>11</v>
      </c>
      <c r="I107" s="138" t="s">
        <v>41</v>
      </c>
      <c r="J107" s="139" t="s">
        <v>42</v>
      </c>
      <c r="K107" s="220" t="s">
        <v>167</v>
      </c>
      <c r="L107" s="141">
        <v>8200000000</v>
      </c>
      <c r="M107" s="141">
        <f>1000000000+285587864+806215128</f>
        <v>2091802992</v>
      </c>
      <c r="N107" s="141">
        <v>721234369</v>
      </c>
      <c r="O107" s="141"/>
      <c r="P107" s="141"/>
      <c r="Q107" s="141">
        <f>L107-M107+N107-O107+P107</f>
        <v>6829431377</v>
      </c>
      <c r="R107" s="141"/>
      <c r="S107" s="141">
        <v>6829431377</v>
      </c>
      <c r="T107" s="141">
        <v>3560223996</v>
      </c>
      <c r="U107" s="141">
        <v>3137991141</v>
      </c>
      <c r="V107" s="141">
        <v>3137991141</v>
      </c>
      <c r="W107" s="141">
        <v>3137991141</v>
      </c>
      <c r="X107" s="153">
        <f t="shared" si="30"/>
        <v>0.52130606480504948</v>
      </c>
      <c r="Y107" s="142"/>
    </row>
    <row r="108" spans="1:25" s="143" customFormat="1" ht="16.5" x14ac:dyDescent="0.2">
      <c r="A108" s="134" t="s">
        <v>120</v>
      </c>
      <c r="B108" s="135" t="s">
        <v>154</v>
      </c>
      <c r="C108" s="135" t="s">
        <v>124</v>
      </c>
      <c r="D108" s="135" t="s">
        <v>162</v>
      </c>
      <c r="E108" s="136" t="s">
        <v>128</v>
      </c>
      <c r="F108" s="136" t="s">
        <v>168</v>
      </c>
      <c r="G108" s="136"/>
      <c r="H108" s="137">
        <v>11</v>
      </c>
      <c r="I108" s="138" t="s">
        <v>41</v>
      </c>
      <c r="J108" s="139" t="s">
        <v>42</v>
      </c>
      <c r="K108" s="220" t="s">
        <v>169</v>
      </c>
      <c r="L108" s="141">
        <v>5300000000</v>
      </c>
      <c r="M108" s="141">
        <f>4000000000+61754000+212006000</f>
        <v>4273760000</v>
      </c>
      <c r="N108" s="141"/>
      <c r="O108" s="141"/>
      <c r="P108" s="141"/>
      <c r="Q108" s="141">
        <f>L108-M108+N108-O108+P108</f>
        <v>1026240000</v>
      </c>
      <c r="R108" s="141"/>
      <c r="S108" s="141">
        <v>997320000</v>
      </c>
      <c r="T108" s="141">
        <v>747320000</v>
      </c>
      <c r="U108" s="141">
        <v>416058499</v>
      </c>
      <c r="V108" s="141">
        <v>416058499</v>
      </c>
      <c r="W108" s="141">
        <v>416058499</v>
      </c>
      <c r="X108" s="153">
        <f t="shared" si="30"/>
        <v>0.72821172435297787</v>
      </c>
      <c r="Y108" s="142"/>
    </row>
    <row r="109" spans="1:25" s="143" customFormat="1" ht="16.5" x14ac:dyDescent="0.2">
      <c r="A109" s="134" t="s">
        <v>120</v>
      </c>
      <c r="B109" s="135" t="s">
        <v>154</v>
      </c>
      <c r="C109" s="135" t="s">
        <v>124</v>
      </c>
      <c r="D109" s="135" t="s">
        <v>162</v>
      </c>
      <c r="E109" s="136" t="s">
        <v>128</v>
      </c>
      <c r="F109" s="138">
        <v>4302075</v>
      </c>
      <c r="G109" s="136"/>
      <c r="H109" s="137">
        <v>11</v>
      </c>
      <c r="I109" s="138" t="s">
        <v>41</v>
      </c>
      <c r="J109" s="139" t="s">
        <v>42</v>
      </c>
      <c r="K109" s="220" t="s">
        <v>170</v>
      </c>
      <c r="L109" s="141">
        <v>0</v>
      </c>
      <c r="M109" s="141">
        <f>462933617+624074369+352832872</f>
        <v>1439840858</v>
      </c>
      <c r="N109" s="141">
        <f>4000000000+285587864</f>
        <v>4285587864</v>
      </c>
      <c r="O109" s="141"/>
      <c r="P109" s="141"/>
      <c r="Q109" s="141">
        <f>L109-M109+N109-O109+P109</f>
        <v>2845747006</v>
      </c>
      <c r="R109" s="141"/>
      <c r="S109" s="141">
        <v>2751949997</v>
      </c>
      <c r="T109" s="141">
        <v>2181157185</v>
      </c>
      <c r="U109" s="141">
        <v>1373987517</v>
      </c>
      <c r="V109" s="141">
        <v>1373987517</v>
      </c>
      <c r="W109" s="141">
        <v>1373987517</v>
      </c>
      <c r="X109" s="153">
        <f t="shared" si="30"/>
        <v>0.76646208549151684</v>
      </c>
      <c r="Y109" s="142"/>
    </row>
    <row r="110" spans="1:25" s="111" customFormat="1" ht="41.25" x14ac:dyDescent="0.2">
      <c r="A110" s="112" t="s">
        <v>120</v>
      </c>
      <c r="B110" s="113" t="s">
        <v>154</v>
      </c>
      <c r="C110" s="113" t="s">
        <v>124</v>
      </c>
      <c r="D110" s="113" t="s">
        <v>171</v>
      </c>
      <c r="E110" s="114"/>
      <c r="F110" s="114"/>
      <c r="G110" s="114"/>
      <c r="H110" s="115"/>
      <c r="I110" s="116"/>
      <c r="J110" s="117" t="s">
        <v>42</v>
      </c>
      <c r="K110" s="219" t="s">
        <v>172</v>
      </c>
      <c r="L110" s="119">
        <f>SUM(L111:L115)</f>
        <v>112072000000</v>
      </c>
      <c r="M110" s="119">
        <f t="shared" ref="M110:W110" si="41">SUM(M111:M115)</f>
        <v>12615576654</v>
      </c>
      <c r="N110" s="119">
        <f>SUM(N111:N115)</f>
        <v>8010666927</v>
      </c>
      <c r="O110" s="119">
        <f t="shared" si="41"/>
        <v>0</v>
      </c>
      <c r="P110" s="119">
        <f t="shared" si="41"/>
        <v>0</v>
      </c>
      <c r="Q110" s="119">
        <f>SUM(Q111:Q115)</f>
        <v>107467090273</v>
      </c>
      <c r="R110" s="119">
        <f>SUM(R111:R115)</f>
        <v>0</v>
      </c>
      <c r="S110" s="119">
        <f>SUM(S111:S115)</f>
        <v>98739377355.649994</v>
      </c>
      <c r="T110" s="119">
        <f t="shared" si="41"/>
        <v>90748573327.149994</v>
      </c>
      <c r="U110" s="119">
        <f t="shared" si="41"/>
        <v>62560559698.5</v>
      </c>
      <c r="V110" s="119">
        <f t="shared" si="41"/>
        <v>62560559698.5</v>
      </c>
      <c r="W110" s="119">
        <f t="shared" si="41"/>
        <v>62560559698.5</v>
      </c>
      <c r="X110" s="120">
        <f t="shared" si="30"/>
        <v>0.84443128679319646</v>
      </c>
      <c r="Y110" s="110"/>
    </row>
    <row r="111" spans="1:25" s="143" customFormat="1" x14ac:dyDescent="0.2">
      <c r="A111" s="134" t="s">
        <v>120</v>
      </c>
      <c r="B111" s="135" t="s">
        <v>154</v>
      </c>
      <c r="C111" s="135" t="s">
        <v>124</v>
      </c>
      <c r="D111" s="135" t="s">
        <v>171</v>
      </c>
      <c r="E111" s="136" t="s">
        <v>128</v>
      </c>
      <c r="F111" s="136" t="s">
        <v>164</v>
      </c>
      <c r="G111" s="136"/>
      <c r="H111" s="137">
        <v>10</v>
      </c>
      <c r="I111" s="138" t="s">
        <v>41</v>
      </c>
      <c r="J111" s="139" t="s">
        <v>42</v>
      </c>
      <c r="K111" s="220" t="s">
        <v>173</v>
      </c>
      <c r="L111" s="141">
        <v>12072000000</v>
      </c>
      <c r="M111" s="141"/>
      <c r="N111" s="141"/>
      <c r="O111" s="141"/>
      <c r="P111" s="141"/>
      <c r="Q111" s="141">
        <f>L111-M111+N111-O111+P111</f>
        <v>12072000000</v>
      </c>
      <c r="R111" s="141"/>
      <c r="S111" s="141">
        <v>11940896666</v>
      </c>
      <c r="T111" s="141">
        <v>11938396666</v>
      </c>
      <c r="U111" s="141">
        <v>8208898495.5</v>
      </c>
      <c r="V111" s="141">
        <v>8208898495.5</v>
      </c>
      <c r="W111" s="141">
        <v>8208898495.5</v>
      </c>
      <c r="X111" s="153">
        <f t="shared" si="30"/>
        <v>0.98893279208084828</v>
      </c>
      <c r="Y111" s="142"/>
    </row>
    <row r="112" spans="1:25" s="143" customFormat="1" x14ac:dyDescent="0.2">
      <c r="A112" s="134" t="s">
        <v>120</v>
      </c>
      <c r="B112" s="135" t="s">
        <v>154</v>
      </c>
      <c r="C112" s="135" t="s">
        <v>124</v>
      </c>
      <c r="D112" s="135" t="s">
        <v>171</v>
      </c>
      <c r="E112" s="136" t="s">
        <v>128</v>
      </c>
      <c r="F112" s="136" t="s">
        <v>164</v>
      </c>
      <c r="G112" s="136"/>
      <c r="H112" s="137">
        <v>11</v>
      </c>
      <c r="I112" s="138" t="s">
        <v>41</v>
      </c>
      <c r="J112" s="139" t="s">
        <v>42</v>
      </c>
      <c r="K112" s="220" t="s">
        <v>165</v>
      </c>
      <c r="L112" s="141">
        <v>23928000000</v>
      </c>
      <c r="M112" s="141">
        <v>2122761411</v>
      </c>
      <c r="N112" s="141">
        <f>1130000000+1000000000+1034414298</f>
        <v>3164414298</v>
      </c>
      <c r="O112" s="141"/>
      <c r="P112" s="141"/>
      <c r="Q112" s="141">
        <f>L112-M112+N112-O112+P112</f>
        <v>24969652887</v>
      </c>
      <c r="R112" s="141"/>
      <c r="S112" s="141">
        <v>23753097145</v>
      </c>
      <c r="T112" s="141">
        <v>23721297145</v>
      </c>
      <c r="U112" s="141">
        <v>21216281397</v>
      </c>
      <c r="V112" s="141">
        <v>21216281397</v>
      </c>
      <c r="W112" s="141">
        <v>21216281397</v>
      </c>
      <c r="X112" s="153">
        <f t="shared" si="30"/>
        <v>0.95000508226328073</v>
      </c>
      <c r="Y112" s="142"/>
    </row>
    <row r="113" spans="1:25" s="143" customFormat="1" ht="16.5" x14ac:dyDescent="0.2">
      <c r="A113" s="134" t="s">
        <v>120</v>
      </c>
      <c r="B113" s="135" t="s">
        <v>154</v>
      </c>
      <c r="C113" s="135" t="s">
        <v>124</v>
      </c>
      <c r="D113" s="135" t="s">
        <v>171</v>
      </c>
      <c r="E113" s="136" t="s">
        <v>128</v>
      </c>
      <c r="F113" s="136" t="s">
        <v>166</v>
      </c>
      <c r="G113" s="136"/>
      <c r="H113" s="137">
        <v>11</v>
      </c>
      <c r="I113" s="138" t="s">
        <v>41</v>
      </c>
      <c r="J113" s="139" t="s">
        <v>42</v>
      </c>
      <c r="K113" s="220" t="s">
        <v>174</v>
      </c>
      <c r="L113" s="141">
        <v>21800000000</v>
      </c>
      <c r="M113" s="141">
        <f>725548016+3032357500</f>
        <v>3757905516</v>
      </c>
      <c r="N113" s="141"/>
      <c r="O113" s="141"/>
      <c r="P113" s="141"/>
      <c r="Q113" s="141">
        <f>L113-M113+N113-O113+P113</f>
        <v>18042094484</v>
      </c>
      <c r="R113" s="141"/>
      <c r="S113" s="141">
        <v>16042094484</v>
      </c>
      <c r="T113" s="141">
        <v>12358594154.5</v>
      </c>
      <c r="U113" s="141">
        <v>10918056547.83</v>
      </c>
      <c r="V113" s="141">
        <v>10918056547.83</v>
      </c>
      <c r="W113" s="141">
        <v>10918056547.83</v>
      </c>
      <c r="X113" s="153">
        <f t="shared" si="30"/>
        <v>0.68498666634629291</v>
      </c>
      <c r="Y113" s="142"/>
    </row>
    <row r="114" spans="1:25" s="143" customFormat="1" ht="16.5" x14ac:dyDescent="0.2">
      <c r="A114" s="134" t="s">
        <v>120</v>
      </c>
      <c r="B114" s="135" t="s">
        <v>154</v>
      </c>
      <c r="C114" s="135" t="s">
        <v>124</v>
      </c>
      <c r="D114" s="135" t="s">
        <v>171</v>
      </c>
      <c r="E114" s="136" t="s">
        <v>128</v>
      </c>
      <c r="F114" s="136" t="s">
        <v>168</v>
      </c>
      <c r="G114" s="136"/>
      <c r="H114" s="137">
        <v>11</v>
      </c>
      <c r="I114" s="138" t="s">
        <v>41</v>
      </c>
      <c r="J114" s="139" t="s">
        <v>42</v>
      </c>
      <c r="K114" s="220" t="s">
        <v>169</v>
      </c>
      <c r="L114" s="141">
        <v>6000000000</v>
      </c>
      <c r="M114" s="141">
        <v>300000000</v>
      </c>
      <c r="N114" s="141">
        <v>240548500</v>
      </c>
      <c r="O114" s="141"/>
      <c r="P114" s="141"/>
      <c r="Q114" s="141">
        <f>L114-M114+N114-O114+P114</f>
        <v>5940548500</v>
      </c>
      <c r="R114" s="141"/>
      <c r="S114" s="141">
        <v>5066738700</v>
      </c>
      <c r="T114" s="141">
        <v>4759738700</v>
      </c>
      <c r="U114" s="141">
        <v>779169398</v>
      </c>
      <c r="V114" s="141">
        <v>779169398</v>
      </c>
      <c r="W114" s="141">
        <v>779169398</v>
      </c>
      <c r="X114" s="153">
        <f t="shared" si="30"/>
        <v>0.80122882592407085</v>
      </c>
      <c r="Y114" s="142"/>
    </row>
    <row r="115" spans="1:25" s="143" customFormat="1" ht="16.5" x14ac:dyDescent="0.2">
      <c r="A115" s="134" t="s">
        <v>120</v>
      </c>
      <c r="B115" s="135" t="s">
        <v>154</v>
      </c>
      <c r="C115" s="135" t="s">
        <v>124</v>
      </c>
      <c r="D115" s="135" t="s">
        <v>171</v>
      </c>
      <c r="E115" s="136" t="s">
        <v>128</v>
      </c>
      <c r="F115" s="136" t="s">
        <v>175</v>
      </c>
      <c r="G115" s="136"/>
      <c r="H115" s="137">
        <v>11</v>
      </c>
      <c r="I115" s="138" t="s">
        <v>41</v>
      </c>
      <c r="J115" s="139" t="s">
        <v>42</v>
      </c>
      <c r="K115" s="220" t="s">
        <v>176</v>
      </c>
      <c r="L115" s="141">
        <v>48272000000</v>
      </c>
      <c r="M115" s="141">
        <f>830000000+1000000000+4604909727</f>
        <v>6434909727</v>
      </c>
      <c r="N115" s="141">
        <f>2848309427+1757394702</f>
        <v>4605704129</v>
      </c>
      <c r="O115" s="141"/>
      <c r="P115" s="141"/>
      <c r="Q115" s="141">
        <f>L115-M115+N115-O115+P115</f>
        <v>46442794402</v>
      </c>
      <c r="R115" s="141"/>
      <c r="S115" s="141">
        <v>41936550360.650002</v>
      </c>
      <c r="T115" s="141">
        <v>37970546661.650002</v>
      </c>
      <c r="U115" s="141">
        <v>21438153860.169998</v>
      </c>
      <c r="V115" s="141">
        <v>21438153860.169998</v>
      </c>
      <c r="W115" s="141">
        <v>21438153860.169998</v>
      </c>
      <c r="X115" s="153">
        <f t="shared" si="30"/>
        <v>0.81757670162962559</v>
      </c>
      <c r="Y115" s="142"/>
    </row>
    <row r="116" spans="1:25" s="111" customFormat="1" ht="24.75" x14ac:dyDescent="0.2">
      <c r="A116" s="112" t="s">
        <v>120</v>
      </c>
      <c r="B116" s="113" t="s">
        <v>154</v>
      </c>
      <c r="C116" s="113" t="s">
        <v>124</v>
      </c>
      <c r="D116" s="113" t="s">
        <v>177</v>
      </c>
      <c r="E116" s="114"/>
      <c r="F116" s="114"/>
      <c r="G116" s="114"/>
      <c r="H116" s="115"/>
      <c r="I116" s="116"/>
      <c r="J116" s="117"/>
      <c r="K116" s="219" t="s">
        <v>178</v>
      </c>
      <c r="L116" s="119">
        <f>SUM(L117)</f>
        <v>800000000</v>
      </c>
      <c r="M116" s="119">
        <f t="shared" ref="M116:W116" si="42">SUM(M117)</f>
        <v>0</v>
      </c>
      <c r="N116" s="119">
        <f t="shared" si="42"/>
        <v>0</v>
      </c>
      <c r="O116" s="119">
        <f t="shared" si="42"/>
        <v>0</v>
      </c>
      <c r="P116" s="119">
        <f t="shared" si="42"/>
        <v>0</v>
      </c>
      <c r="Q116" s="119">
        <f t="shared" si="42"/>
        <v>800000000</v>
      </c>
      <c r="R116" s="119">
        <f>SUM(R117)</f>
        <v>0</v>
      </c>
      <c r="S116" s="119">
        <f t="shared" si="42"/>
        <v>788100000</v>
      </c>
      <c r="T116" s="119">
        <f t="shared" si="42"/>
        <v>762218022</v>
      </c>
      <c r="U116" s="119">
        <f t="shared" si="42"/>
        <v>509654850</v>
      </c>
      <c r="V116" s="119">
        <f t="shared" si="42"/>
        <v>509654850</v>
      </c>
      <c r="W116" s="119">
        <f t="shared" si="42"/>
        <v>509654850</v>
      </c>
      <c r="X116" s="120">
        <f t="shared" si="30"/>
        <v>0.95277252749999997</v>
      </c>
      <c r="Y116" s="110"/>
    </row>
    <row r="117" spans="1:25" s="143" customFormat="1" ht="16.5" x14ac:dyDescent="0.2">
      <c r="A117" s="134" t="s">
        <v>120</v>
      </c>
      <c r="B117" s="135" t="s">
        <v>154</v>
      </c>
      <c r="C117" s="135" t="s">
        <v>124</v>
      </c>
      <c r="D117" s="135" t="s">
        <v>177</v>
      </c>
      <c r="E117" s="136" t="s">
        <v>128</v>
      </c>
      <c r="F117" s="136" t="s">
        <v>179</v>
      </c>
      <c r="G117" s="136"/>
      <c r="H117" s="137">
        <v>11</v>
      </c>
      <c r="I117" s="138" t="s">
        <v>41</v>
      </c>
      <c r="J117" s="139" t="s">
        <v>42</v>
      </c>
      <c r="K117" s="220" t="s">
        <v>180</v>
      </c>
      <c r="L117" s="141">
        <v>800000000</v>
      </c>
      <c r="M117" s="141"/>
      <c r="N117" s="141"/>
      <c r="O117" s="141"/>
      <c r="P117" s="141"/>
      <c r="Q117" s="141">
        <f>L117-M117+N117-O117+P117</f>
        <v>800000000</v>
      </c>
      <c r="R117" s="141"/>
      <c r="S117" s="141">
        <v>788100000</v>
      </c>
      <c r="T117" s="141">
        <v>762218022</v>
      </c>
      <c r="U117" s="141">
        <v>509654850</v>
      </c>
      <c r="V117" s="141">
        <v>509654850</v>
      </c>
      <c r="W117" s="141">
        <v>509654850</v>
      </c>
      <c r="X117" s="153">
        <f t="shared" si="30"/>
        <v>0.95277252749999997</v>
      </c>
      <c r="Y117" s="142"/>
    </row>
    <row r="118" spans="1:25" s="111" customFormat="1" ht="24.75" x14ac:dyDescent="0.2">
      <c r="A118" s="112" t="s">
        <v>120</v>
      </c>
      <c r="B118" s="113" t="s">
        <v>154</v>
      </c>
      <c r="C118" s="113" t="s">
        <v>124</v>
      </c>
      <c r="D118" s="113" t="s">
        <v>181</v>
      </c>
      <c r="E118" s="114"/>
      <c r="F118" s="114"/>
      <c r="G118" s="114"/>
      <c r="H118" s="115"/>
      <c r="I118" s="116"/>
      <c r="J118" s="117"/>
      <c r="K118" s="219" t="s">
        <v>182</v>
      </c>
      <c r="L118" s="119">
        <f>SUM(L119:L120)</f>
        <v>800000000</v>
      </c>
      <c r="M118" s="119">
        <f t="shared" ref="M118:W118" si="43">SUM(M119:M120)</f>
        <v>484000000</v>
      </c>
      <c r="N118" s="119">
        <f t="shared" si="43"/>
        <v>484000000</v>
      </c>
      <c r="O118" s="119">
        <f t="shared" si="43"/>
        <v>0</v>
      </c>
      <c r="P118" s="119">
        <f t="shared" si="43"/>
        <v>0</v>
      </c>
      <c r="Q118" s="119">
        <f t="shared" si="43"/>
        <v>800000000</v>
      </c>
      <c r="R118" s="119">
        <f t="shared" si="43"/>
        <v>0</v>
      </c>
      <c r="S118" s="119">
        <f t="shared" si="43"/>
        <v>713533333</v>
      </c>
      <c r="T118" s="119">
        <f t="shared" si="43"/>
        <v>279533333</v>
      </c>
      <c r="U118" s="119">
        <f t="shared" si="43"/>
        <v>151222992</v>
      </c>
      <c r="V118" s="119">
        <f t="shared" si="43"/>
        <v>151222992</v>
      </c>
      <c r="W118" s="119">
        <f t="shared" si="43"/>
        <v>151222992</v>
      </c>
      <c r="X118" s="120">
        <f t="shared" si="30"/>
        <v>0.34941666625000001</v>
      </c>
      <c r="Y118" s="110"/>
    </row>
    <row r="119" spans="1:25" s="143" customFormat="1" ht="16.5" x14ac:dyDescent="0.2">
      <c r="A119" s="134" t="s">
        <v>120</v>
      </c>
      <c r="B119" s="135" t="s">
        <v>154</v>
      </c>
      <c r="C119" s="135" t="s">
        <v>124</v>
      </c>
      <c r="D119" s="135" t="s">
        <v>181</v>
      </c>
      <c r="E119" s="136" t="s">
        <v>128</v>
      </c>
      <c r="F119" s="136" t="s">
        <v>183</v>
      </c>
      <c r="G119" s="136"/>
      <c r="H119" s="137">
        <v>11</v>
      </c>
      <c r="I119" s="138" t="s">
        <v>41</v>
      </c>
      <c r="J119" s="139" t="s">
        <v>42</v>
      </c>
      <c r="K119" s="220" t="s">
        <v>184</v>
      </c>
      <c r="L119" s="141">
        <v>800000000</v>
      </c>
      <c r="M119" s="141">
        <f>245000000+234000000+5000000</f>
        <v>484000000</v>
      </c>
      <c r="N119" s="141"/>
      <c r="O119" s="141"/>
      <c r="P119" s="141"/>
      <c r="Q119" s="141">
        <f>L119-M119+N119-O119+P119</f>
        <v>316000000</v>
      </c>
      <c r="R119" s="141"/>
      <c r="S119" s="141">
        <v>313533333</v>
      </c>
      <c r="T119" s="141">
        <v>279533333</v>
      </c>
      <c r="U119" s="141">
        <v>151222992</v>
      </c>
      <c r="V119" s="141">
        <v>151222992</v>
      </c>
      <c r="W119" s="141">
        <v>151222992</v>
      </c>
      <c r="X119" s="153">
        <f t="shared" si="30"/>
        <v>0.88459915506329112</v>
      </c>
      <c r="Y119" s="142"/>
    </row>
    <row r="120" spans="1:25" s="143" customFormat="1" ht="16.5" x14ac:dyDescent="0.2">
      <c r="A120" s="221" t="s">
        <v>120</v>
      </c>
      <c r="B120" s="222" t="s">
        <v>154</v>
      </c>
      <c r="C120" s="222" t="s">
        <v>124</v>
      </c>
      <c r="D120" s="222" t="s">
        <v>181</v>
      </c>
      <c r="E120" s="223" t="s">
        <v>128</v>
      </c>
      <c r="F120" s="224">
        <v>4302075</v>
      </c>
      <c r="G120" s="223"/>
      <c r="H120" s="225">
        <v>11</v>
      </c>
      <c r="I120" s="224" t="s">
        <v>41</v>
      </c>
      <c r="J120" s="226" t="s">
        <v>42</v>
      </c>
      <c r="K120" s="227" t="s">
        <v>176</v>
      </c>
      <c r="L120" s="228">
        <v>0</v>
      </c>
      <c r="M120" s="141"/>
      <c r="N120" s="141">
        <f>245000000+234000000+5000000</f>
        <v>484000000</v>
      </c>
      <c r="O120" s="141"/>
      <c r="P120" s="141"/>
      <c r="Q120" s="141">
        <f>L120-M120+N120-O120+P120</f>
        <v>484000000</v>
      </c>
      <c r="R120" s="141"/>
      <c r="S120" s="141">
        <v>400000000</v>
      </c>
      <c r="T120" s="141">
        <v>0</v>
      </c>
      <c r="U120" s="141">
        <v>0</v>
      </c>
      <c r="V120" s="141">
        <v>0</v>
      </c>
      <c r="W120" s="141">
        <v>0</v>
      </c>
      <c r="X120" s="153">
        <f t="shared" si="30"/>
        <v>0</v>
      </c>
      <c r="Y120" s="142"/>
    </row>
    <row r="121" spans="1:25" s="111" customFormat="1" ht="41.25" x14ac:dyDescent="0.2">
      <c r="A121" s="112" t="s">
        <v>120</v>
      </c>
      <c r="B121" s="113" t="s">
        <v>154</v>
      </c>
      <c r="C121" s="113" t="s">
        <v>124</v>
      </c>
      <c r="D121" s="113" t="s">
        <v>185</v>
      </c>
      <c r="E121" s="114"/>
      <c r="F121" s="114"/>
      <c r="G121" s="114"/>
      <c r="H121" s="115"/>
      <c r="I121" s="116"/>
      <c r="J121" s="117"/>
      <c r="K121" s="219" t="s">
        <v>186</v>
      </c>
      <c r="L121" s="119">
        <f>SUM(L122:L123)</f>
        <v>13828000000</v>
      </c>
      <c r="M121" s="119">
        <f t="shared" ref="M121:W121" si="44">SUM(M122:M123)</f>
        <v>4900000000</v>
      </c>
      <c r="N121" s="119">
        <f t="shared" si="44"/>
        <v>54504909727</v>
      </c>
      <c r="O121" s="119">
        <f t="shared" si="44"/>
        <v>0</v>
      </c>
      <c r="P121" s="119">
        <f t="shared" si="44"/>
        <v>0</v>
      </c>
      <c r="Q121" s="119">
        <f>SUM(Q122:Q123)</f>
        <v>63432909727</v>
      </c>
      <c r="R121" s="119">
        <f>SUM(R122:R123)</f>
        <v>0</v>
      </c>
      <c r="S121" s="119">
        <f t="shared" si="44"/>
        <v>62932909727</v>
      </c>
      <c r="T121" s="119">
        <f t="shared" si="44"/>
        <v>60062412935</v>
      </c>
      <c r="U121" s="119">
        <f t="shared" si="44"/>
        <v>26961606519</v>
      </c>
      <c r="V121" s="119">
        <f t="shared" si="44"/>
        <v>26961606519</v>
      </c>
      <c r="W121" s="119">
        <f t="shared" si="44"/>
        <v>26961606519</v>
      </c>
      <c r="X121" s="120">
        <f t="shared" si="30"/>
        <v>0.94686517130451986</v>
      </c>
      <c r="Y121" s="110"/>
    </row>
    <row r="122" spans="1:25" s="143" customFormat="1" ht="16.5" x14ac:dyDescent="0.2">
      <c r="A122" s="134" t="s">
        <v>120</v>
      </c>
      <c r="B122" s="135" t="s">
        <v>154</v>
      </c>
      <c r="C122" s="135" t="s">
        <v>124</v>
      </c>
      <c r="D122" s="135" t="s">
        <v>185</v>
      </c>
      <c r="E122" s="136" t="s">
        <v>128</v>
      </c>
      <c r="F122" s="136" t="s">
        <v>187</v>
      </c>
      <c r="G122" s="136"/>
      <c r="H122" s="137">
        <v>11</v>
      </c>
      <c r="I122" s="138" t="s">
        <v>41</v>
      </c>
      <c r="J122" s="139" t="s">
        <v>42</v>
      </c>
      <c r="K122" s="220" t="s">
        <v>188</v>
      </c>
      <c r="L122" s="141">
        <v>11828000000</v>
      </c>
      <c r="M122" s="141">
        <v>1450000000</v>
      </c>
      <c r="N122" s="141">
        <f>2000000000+45000000000+4604909727+950000000+500000000</f>
        <v>53054909727</v>
      </c>
      <c r="O122" s="141"/>
      <c r="P122" s="141"/>
      <c r="Q122" s="141">
        <f>L122-M122+N122-O122+P122</f>
        <v>63432909727</v>
      </c>
      <c r="R122" s="141"/>
      <c r="S122" s="141">
        <v>62932909727</v>
      </c>
      <c r="T122" s="141">
        <v>60062412935</v>
      </c>
      <c r="U122" s="141">
        <v>26961606519</v>
      </c>
      <c r="V122" s="141">
        <v>26961606519</v>
      </c>
      <c r="W122" s="141">
        <v>26961606519</v>
      </c>
      <c r="X122" s="153">
        <f t="shared" si="30"/>
        <v>0.94686517130451986</v>
      </c>
      <c r="Y122" s="142"/>
    </row>
    <row r="123" spans="1:25" s="143" customFormat="1" ht="16.5" x14ac:dyDescent="0.2">
      <c r="A123" s="134" t="s">
        <v>120</v>
      </c>
      <c r="B123" s="135" t="s">
        <v>154</v>
      </c>
      <c r="C123" s="135" t="s">
        <v>124</v>
      </c>
      <c r="D123" s="135" t="s">
        <v>185</v>
      </c>
      <c r="E123" s="136" t="s">
        <v>128</v>
      </c>
      <c r="F123" s="136" t="s">
        <v>179</v>
      </c>
      <c r="G123" s="136"/>
      <c r="H123" s="137">
        <v>11</v>
      </c>
      <c r="I123" s="138" t="s">
        <v>41</v>
      </c>
      <c r="J123" s="139" t="s">
        <v>42</v>
      </c>
      <c r="K123" s="220" t="s">
        <v>189</v>
      </c>
      <c r="L123" s="141">
        <v>2000000000</v>
      </c>
      <c r="M123" s="141">
        <f>2000000000+950000000+500000000</f>
        <v>3450000000</v>
      </c>
      <c r="N123" s="141">
        <v>1450000000</v>
      </c>
      <c r="O123" s="141"/>
      <c r="P123" s="141"/>
      <c r="Q123" s="141">
        <f>L123-M123+N123-O123+P123</f>
        <v>0</v>
      </c>
      <c r="R123" s="141"/>
      <c r="S123" s="141">
        <v>0</v>
      </c>
      <c r="T123" s="141">
        <v>0</v>
      </c>
      <c r="U123" s="141">
        <v>0</v>
      </c>
      <c r="V123" s="141">
        <v>0</v>
      </c>
      <c r="W123" s="141">
        <v>0</v>
      </c>
      <c r="X123" s="153">
        <v>0</v>
      </c>
      <c r="Y123" s="142"/>
    </row>
    <row r="124" spans="1:25" s="111" customFormat="1" ht="24.75" x14ac:dyDescent="0.2">
      <c r="A124" s="112" t="s">
        <v>120</v>
      </c>
      <c r="B124" s="113" t="s">
        <v>154</v>
      </c>
      <c r="C124" s="113" t="s">
        <v>124</v>
      </c>
      <c r="D124" s="113" t="s">
        <v>190</v>
      </c>
      <c r="E124" s="114"/>
      <c r="F124" s="114"/>
      <c r="G124" s="114"/>
      <c r="H124" s="115"/>
      <c r="I124" s="116"/>
      <c r="J124" s="117"/>
      <c r="K124" s="219" t="s">
        <v>191</v>
      </c>
      <c r="L124" s="119">
        <f>SUM(L125:L127)</f>
        <v>2500000000</v>
      </c>
      <c r="M124" s="119">
        <f t="shared" ref="M124:W124" si="45">SUM(M125:M127)</f>
        <v>67563200</v>
      </c>
      <c r="N124" s="119">
        <f t="shared" si="45"/>
        <v>67563200</v>
      </c>
      <c r="O124" s="119">
        <f t="shared" si="45"/>
        <v>0</v>
      </c>
      <c r="P124" s="119">
        <f t="shared" si="45"/>
        <v>0</v>
      </c>
      <c r="Q124" s="119">
        <f t="shared" si="45"/>
        <v>2500000000</v>
      </c>
      <c r="R124" s="119">
        <f>SUM(R125:R127)</f>
        <v>0</v>
      </c>
      <c r="S124" s="119">
        <f t="shared" si="45"/>
        <v>2500000000</v>
      </c>
      <c r="T124" s="119">
        <f t="shared" si="45"/>
        <v>2468108292</v>
      </c>
      <c r="U124" s="119">
        <f t="shared" si="45"/>
        <v>1620428859</v>
      </c>
      <c r="V124" s="119">
        <f t="shared" si="45"/>
        <v>1620428859</v>
      </c>
      <c r="W124" s="119">
        <f t="shared" si="45"/>
        <v>1620428859</v>
      </c>
      <c r="X124" s="120">
        <f t="shared" si="30"/>
        <v>0.98724331679999999</v>
      </c>
      <c r="Y124" s="110"/>
    </row>
    <row r="125" spans="1:25" s="143" customFormat="1" ht="16.5" x14ac:dyDescent="0.2">
      <c r="A125" s="134" t="s">
        <v>120</v>
      </c>
      <c r="B125" s="135" t="s">
        <v>154</v>
      </c>
      <c r="C125" s="135" t="s">
        <v>124</v>
      </c>
      <c r="D125" s="135" t="s">
        <v>190</v>
      </c>
      <c r="E125" s="136" t="s">
        <v>128</v>
      </c>
      <c r="F125" s="136" t="s">
        <v>179</v>
      </c>
      <c r="G125" s="136"/>
      <c r="H125" s="137">
        <v>11</v>
      </c>
      <c r="I125" s="138" t="s">
        <v>41</v>
      </c>
      <c r="J125" s="139" t="s">
        <v>42</v>
      </c>
      <c r="K125" s="220" t="s">
        <v>180</v>
      </c>
      <c r="L125" s="141">
        <v>210000000</v>
      </c>
      <c r="M125" s="141">
        <v>67563200</v>
      </c>
      <c r="N125" s="141"/>
      <c r="O125" s="141"/>
      <c r="P125" s="141"/>
      <c r="Q125" s="141">
        <f>L125-M125+N125-O125+P125</f>
        <v>142436800</v>
      </c>
      <c r="R125" s="141"/>
      <c r="S125" s="141">
        <v>142436800</v>
      </c>
      <c r="T125" s="141">
        <v>142436800</v>
      </c>
      <c r="U125" s="141">
        <v>103590400</v>
      </c>
      <c r="V125" s="141">
        <v>103590400</v>
      </c>
      <c r="W125" s="141">
        <v>103590400</v>
      </c>
      <c r="X125" s="153">
        <f t="shared" si="30"/>
        <v>1</v>
      </c>
      <c r="Y125" s="142"/>
    </row>
    <row r="126" spans="1:25" s="143" customFormat="1" ht="16.5" x14ac:dyDescent="0.2">
      <c r="A126" s="134" t="s">
        <v>120</v>
      </c>
      <c r="B126" s="135" t="s">
        <v>154</v>
      </c>
      <c r="C126" s="135" t="s">
        <v>124</v>
      </c>
      <c r="D126" s="135" t="s">
        <v>190</v>
      </c>
      <c r="E126" s="136" t="s">
        <v>128</v>
      </c>
      <c r="F126" s="136" t="s">
        <v>175</v>
      </c>
      <c r="G126" s="136"/>
      <c r="H126" s="137">
        <v>11</v>
      </c>
      <c r="I126" s="138" t="s">
        <v>41</v>
      </c>
      <c r="J126" s="139" t="s">
        <v>42</v>
      </c>
      <c r="K126" s="220" t="s">
        <v>176</v>
      </c>
      <c r="L126" s="141">
        <v>510000000</v>
      </c>
      <c r="M126" s="141"/>
      <c r="N126" s="141">
        <v>67563200</v>
      </c>
      <c r="O126" s="141"/>
      <c r="P126" s="141"/>
      <c r="Q126" s="141">
        <f>L126-M126+N126-O126+P126</f>
        <v>577563200</v>
      </c>
      <c r="R126" s="141"/>
      <c r="S126" s="141">
        <v>577563200</v>
      </c>
      <c r="T126" s="141">
        <v>554862664</v>
      </c>
      <c r="U126" s="141">
        <v>346194221</v>
      </c>
      <c r="V126" s="141">
        <v>346194221</v>
      </c>
      <c r="W126" s="141">
        <v>346194221</v>
      </c>
      <c r="X126" s="153">
        <f t="shared" si="30"/>
        <v>0.96069601387346004</v>
      </c>
      <c r="Y126" s="142"/>
    </row>
    <row r="127" spans="1:25" s="143" customFormat="1" ht="24.75" x14ac:dyDescent="0.2">
      <c r="A127" s="134" t="s">
        <v>120</v>
      </c>
      <c r="B127" s="135" t="s">
        <v>154</v>
      </c>
      <c r="C127" s="135" t="s">
        <v>124</v>
      </c>
      <c r="D127" s="135" t="s">
        <v>190</v>
      </c>
      <c r="E127" s="136" t="s">
        <v>128</v>
      </c>
      <c r="F127" s="136" t="s">
        <v>192</v>
      </c>
      <c r="G127" s="136"/>
      <c r="H127" s="137">
        <v>11</v>
      </c>
      <c r="I127" s="138" t="s">
        <v>41</v>
      </c>
      <c r="J127" s="139" t="s">
        <v>42</v>
      </c>
      <c r="K127" s="220" t="s">
        <v>193</v>
      </c>
      <c r="L127" s="141">
        <v>1780000000</v>
      </c>
      <c r="M127" s="141"/>
      <c r="N127" s="141"/>
      <c r="O127" s="141"/>
      <c r="P127" s="141"/>
      <c r="Q127" s="141">
        <f>L127-M127+N127-O127+P127</f>
        <v>1780000000</v>
      </c>
      <c r="R127" s="141"/>
      <c r="S127" s="141">
        <v>1780000000</v>
      </c>
      <c r="T127" s="141">
        <v>1770808828</v>
      </c>
      <c r="U127" s="141">
        <v>1170644238</v>
      </c>
      <c r="V127" s="141">
        <v>1170644238</v>
      </c>
      <c r="W127" s="141">
        <v>1170644238</v>
      </c>
      <c r="X127" s="153">
        <f t="shared" si="30"/>
        <v>0.99483642022471908</v>
      </c>
      <c r="Y127" s="142"/>
    </row>
    <row r="128" spans="1:25" s="111" customFormat="1" ht="16.5" x14ac:dyDescent="0.2">
      <c r="A128" s="112" t="s">
        <v>120</v>
      </c>
      <c r="B128" s="113" t="s">
        <v>154</v>
      </c>
      <c r="C128" s="113" t="s">
        <v>124</v>
      </c>
      <c r="D128" s="113" t="s">
        <v>194</v>
      </c>
      <c r="E128" s="114"/>
      <c r="F128" s="114"/>
      <c r="G128" s="114"/>
      <c r="H128" s="115"/>
      <c r="I128" s="116"/>
      <c r="J128" s="117"/>
      <c r="K128" s="219" t="s">
        <v>195</v>
      </c>
      <c r="L128" s="119">
        <f>SUM(L129:L131)</f>
        <v>3000000000</v>
      </c>
      <c r="M128" s="119">
        <f t="shared" ref="M128:W128" si="46">SUM(M129:M131)</f>
        <v>145420960</v>
      </c>
      <c r="N128" s="119">
        <f t="shared" si="46"/>
        <v>145420960</v>
      </c>
      <c r="O128" s="119">
        <f t="shared" si="46"/>
        <v>0</v>
      </c>
      <c r="P128" s="119">
        <f t="shared" si="46"/>
        <v>0</v>
      </c>
      <c r="Q128" s="119">
        <f t="shared" si="46"/>
        <v>3000000000</v>
      </c>
      <c r="R128" s="119">
        <f>SUM(R129:R131)</f>
        <v>0</v>
      </c>
      <c r="S128" s="119">
        <f t="shared" si="46"/>
        <v>2648425100</v>
      </c>
      <c r="T128" s="119">
        <f t="shared" si="46"/>
        <v>2598655178</v>
      </c>
      <c r="U128" s="119">
        <f t="shared" si="46"/>
        <v>2364568810</v>
      </c>
      <c r="V128" s="119">
        <f t="shared" si="46"/>
        <v>2364568810</v>
      </c>
      <c r="W128" s="119">
        <f t="shared" si="46"/>
        <v>2364568810</v>
      </c>
      <c r="X128" s="120">
        <f t="shared" si="30"/>
        <v>0.86621839266666667</v>
      </c>
      <c r="Y128" s="110"/>
    </row>
    <row r="129" spans="1:25" s="143" customFormat="1" ht="16.5" x14ac:dyDescent="0.2">
      <c r="A129" s="134" t="s">
        <v>120</v>
      </c>
      <c r="B129" s="135" t="s">
        <v>154</v>
      </c>
      <c r="C129" s="135" t="s">
        <v>124</v>
      </c>
      <c r="D129" s="135" t="s">
        <v>194</v>
      </c>
      <c r="E129" s="136" t="s">
        <v>128</v>
      </c>
      <c r="F129" s="136" t="s">
        <v>179</v>
      </c>
      <c r="G129" s="136"/>
      <c r="H129" s="137">
        <v>11</v>
      </c>
      <c r="I129" s="138" t="s">
        <v>41</v>
      </c>
      <c r="J129" s="139" t="s">
        <v>42</v>
      </c>
      <c r="K129" s="220" t="s">
        <v>180</v>
      </c>
      <c r="L129" s="141">
        <v>380000000</v>
      </c>
      <c r="M129" s="141">
        <v>145420960</v>
      </c>
      <c r="N129" s="141"/>
      <c r="O129" s="141"/>
      <c r="P129" s="141"/>
      <c r="Q129" s="141">
        <f>L129-M129+N129-O129+P129</f>
        <v>234579040</v>
      </c>
      <c r="R129" s="141"/>
      <c r="S129" s="141">
        <v>164579040</v>
      </c>
      <c r="T129" s="141">
        <v>164579040</v>
      </c>
      <c r="U129" s="141">
        <v>164579040</v>
      </c>
      <c r="V129" s="141">
        <v>164579040</v>
      </c>
      <c r="W129" s="141">
        <v>164579040</v>
      </c>
      <c r="X129" s="153">
        <f t="shared" si="30"/>
        <v>0.70159311761187193</v>
      </c>
      <c r="Y129" s="142"/>
    </row>
    <row r="130" spans="1:25" s="143" customFormat="1" x14ac:dyDescent="0.2">
      <c r="A130" s="134" t="s">
        <v>120</v>
      </c>
      <c r="B130" s="135" t="s">
        <v>154</v>
      </c>
      <c r="C130" s="135" t="s">
        <v>124</v>
      </c>
      <c r="D130" s="135" t="s">
        <v>194</v>
      </c>
      <c r="E130" s="136" t="s">
        <v>128</v>
      </c>
      <c r="F130" s="136" t="s">
        <v>196</v>
      </c>
      <c r="G130" s="136"/>
      <c r="H130" s="137">
        <v>11</v>
      </c>
      <c r="I130" s="138" t="s">
        <v>41</v>
      </c>
      <c r="J130" s="139" t="s">
        <v>42</v>
      </c>
      <c r="K130" s="220" t="s">
        <v>197</v>
      </c>
      <c r="L130" s="141">
        <v>50000000</v>
      </c>
      <c r="M130" s="141"/>
      <c r="N130" s="141"/>
      <c r="O130" s="141"/>
      <c r="P130" s="141"/>
      <c r="Q130" s="141">
        <f>L130-M130+N130-O130+P130</f>
        <v>50000000</v>
      </c>
      <c r="R130" s="141"/>
      <c r="S130" s="141">
        <v>50000000</v>
      </c>
      <c r="T130" s="141">
        <v>50000000</v>
      </c>
      <c r="U130" s="141">
        <v>25000000</v>
      </c>
      <c r="V130" s="141">
        <v>25000000</v>
      </c>
      <c r="W130" s="141">
        <v>25000000</v>
      </c>
      <c r="X130" s="153">
        <f t="shared" si="30"/>
        <v>1</v>
      </c>
      <c r="Y130" s="142"/>
    </row>
    <row r="131" spans="1:25" s="143" customFormat="1" x14ac:dyDescent="0.2">
      <c r="A131" s="134" t="s">
        <v>120</v>
      </c>
      <c r="B131" s="135" t="s">
        <v>154</v>
      </c>
      <c r="C131" s="135" t="s">
        <v>124</v>
      </c>
      <c r="D131" s="135" t="s">
        <v>194</v>
      </c>
      <c r="E131" s="136" t="s">
        <v>128</v>
      </c>
      <c r="F131" s="136" t="s">
        <v>198</v>
      </c>
      <c r="G131" s="136"/>
      <c r="H131" s="137">
        <v>11</v>
      </c>
      <c r="I131" s="138" t="s">
        <v>41</v>
      </c>
      <c r="J131" s="139" t="s">
        <v>42</v>
      </c>
      <c r="K131" s="220" t="s">
        <v>199</v>
      </c>
      <c r="L131" s="141">
        <v>2570000000</v>
      </c>
      <c r="M131" s="141"/>
      <c r="N131" s="141">
        <v>145420960</v>
      </c>
      <c r="O131" s="141"/>
      <c r="P131" s="141"/>
      <c r="Q131" s="141">
        <f>L131-M131+N131-O131+P131</f>
        <v>2715420960</v>
      </c>
      <c r="R131" s="141"/>
      <c r="S131" s="141">
        <v>2433846060</v>
      </c>
      <c r="T131" s="141">
        <v>2384076138</v>
      </c>
      <c r="U131" s="141">
        <v>2174989770</v>
      </c>
      <c r="V131" s="141">
        <v>2174989770</v>
      </c>
      <c r="W131" s="141">
        <v>2174989770</v>
      </c>
      <c r="X131" s="153">
        <f t="shared" si="30"/>
        <v>0.87797662797741682</v>
      </c>
      <c r="Y131" s="142"/>
    </row>
    <row r="132" spans="1:25" s="111" customFormat="1" ht="24.75" x14ac:dyDescent="0.2">
      <c r="A132" s="112" t="s">
        <v>120</v>
      </c>
      <c r="B132" s="113" t="s">
        <v>154</v>
      </c>
      <c r="C132" s="113" t="s">
        <v>124</v>
      </c>
      <c r="D132" s="113" t="s">
        <v>200</v>
      </c>
      <c r="E132" s="114"/>
      <c r="F132" s="114"/>
      <c r="G132" s="114"/>
      <c r="H132" s="115">
        <v>11</v>
      </c>
      <c r="I132" s="116" t="s">
        <v>41</v>
      </c>
      <c r="J132" s="117" t="s">
        <v>42</v>
      </c>
      <c r="K132" s="219" t="s">
        <v>201</v>
      </c>
      <c r="L132" s="119">
        <f>L133</f>
        <v>5000000000</v>
      </c>
      <c r="M132" s="119">
        <f t="shared" ref="M132:W132" si="47">M133</f>
        <v>0</v>
      </c>
      <c r="N132" s="119">
        <f t="shared" si="47"/>
        <v>0</v>
      </c>
      <c r="O132" s="119">
        <f t="shared" si="47"/>
        <v>0</v>
      </c>
      <c r="P132" s="119">
        <f t="shared" si="47"/>
        <v>0</v>
      </c>
      <c r="Q132" s="119">
        <f t="shared" si="47"/>
        <v>5000000000</v>
      </c>
      <c r="R132" s="119">
        <f>R133</f>
        <v>0</v>
      </c>
      <c r="S132" s="119">
        <f t="shared" si="47"/>
        <v>4645037202.3100004</v>
      </c>
      <c r="T132" s="119">
        <f t="shared" si="47"/>
        <v>2340455807.3099999</v>
      </c>
      <c r="U132" s="119">
        <f t="shared" si="47"/>
        <v>749448183.71000004</v>
      </c>
      <c r="V132" s="119">
        <f t="shared" si="47"/>
        <v>749448183.71000004</v>
      </c>
      <c r="W132" s="119">
        <f t="shared" si="47"/>
        <v>749448183.71000004</v>
      </c>
      <c r="X132" s="120">
        <f t="shared" si="30"/>
        <v>0.46809116146199997</v>
      </c>
      <c r="Y132" s="110"/>
    </row>
    <row r="133" spans="1:25" s="143" customFormat="1" x14ac:dyDescent="0.2">
      <c r="A133" s="134" t="s">
        <v>120</v>
      </c>
      <c r="B133" s="135" t="s">
        <v>154</v>
      </c>
      <c r="C133" s="135" t="s">
        <v>124</v>
      </c>
      <c r="D133" s="135" t="s">
        <v>200</v>
      </c>
      <c r="E133" s="136" t="s">
        <v>128</v>
      </c>
      <c r="F133" s="136" t="s">
        <v>202</v>
      </c>
      <c r="G133" s="136"/>
      <c r="H133" s="137">
        <v>11</v>
      </c>
      <c r="I133" s="138" t="s">
        <v>41</v>
      </c>
      <c r="J133" s="139" t="s">
        <v>42</v>
      </c>
      <c r="K133" s="220" t="s">
        <v>203</v>
      </c>
      <c r="L133" s="141">
        <v>5000000000</v>
      </c>
      <c r="M133" s="141"/>
      <c r="N133" s="141"/>
      <c r="O133" s="141"/>
      <c r="P133" s="141"/>
      <c r="Q133" s="141">
        <f>L133-M133+N133-O133+P133</f>
        <v>5000000000</v>
      </c>
      <c r="R133" s="141"/>
      <c r="S133" s="141">
        <v>4645037202.3100004</v>
      </c>
      <c r="T133" s="141">
        <v>2340455807.3099999</v>
      </c>
      <c r="U133" s="141">
        <v>749448183.71000004</v>
      </c>
      <c r="V133" s="141">
        <v>749448183.71000004</v>
      </c>
      <c r="W133" s="141">
        <v>749448183.71000004</v>
      </c>
      <c r="X133" s="153">
        <f t="shared" si="30"/>
        <v>0.46809116146199997</v>
      </c>
      <c r="Y133" s="142"/>
    </row>
    <row r="134" spans="1:25" s="209" customFormat="1" ht="24.75" x14ac:dyDescent="0.25">
      <c r="A134" s="213" t="s">
        <v>120</v>
      </c>
      <c r="B134" s="214" t="s">
        <v>204</v>
      </c>
      <c r="C134" s="214"/>
      <c r="D134" s="214"/>
      <c r="E134" s="214"/>
      <c r="F134" s="214"/>
      <c r="G134" s="214"/>
      <c r="H134" s="214"/>
      <c r="I134" s="215"/>
      <c r="J134" s="216"/>
      <c r="K134" s="229" t="s">
        <v>205</v>
      </c>
      <c r="L134" s="217">
        <f>L135</f>
        <v>12377623983</v>
      </c>
      <c r="M134" s="217">
        <f t="shared" ref="M134:W134" si="48">M135</f>
        <v>0</v>
      </c>
      <c r="N134" s="217">
        <f t="shared" si="48"/>
        <v>0</v>
      </c>
      <c r="O134" s="217">
        <f t="shared" si="48"/>
        <v>0</v>
      </c>
      <c r="P134" s="217">
        <f t="shared" si="48"/>
        <v>0</v>
      </c>
      <c r="Q134" s="217">
        <f t="shared" si="48"/>
        <v>12377623983</v>
      </c>
      <c r="R134" s="217">
        <f>R135</f>
        <v>0</v>
      </c>
      <c r="S134" s="217">
        <f t="shared" si="48"/>
        <v>11160082088.65</v>
      </c>
      <c r="T134" s="217">
        <f t="shared" si="48"/>
        <v>10159907181.65</v>
      </c>
      <c r="U134" s="217">
        <f t="shared" si="48"/>
        <v>6470451990.7299995</v>
      </c>
      <c r="V134" s="217">
        <f t="shared" si="48"/>
        <v>6470451990.7299995</v>
      </c>
      <c r="W134" s="217">
        <f t="shared" si="48"/>
        <v>6470451990.7299995</v>
      </c>
      <c r="X134" s="230">
        <f t="shared" si="30"/>
        <v>0.82082855284698297</v>
      </c>
      <c r="Y134" s="208"/>
    </row>
    <row r="135" spans="1:25" s="111" customFormat="1" x14ac:dyDescent="0.2">
      <c r="A135" s="112" t="s">
        <v>120</v>
      </c>
      <c r="B135" s="113" t="s">
        <v>204</v>
      </c>
      <c r="C135" s="113" t="s">
        <v>124</v>
      </c>
      <c r="D135" s="113"/>
      <c r="E135" s="114"/>
      <c r="F135" s="114"/>
      <c r="G135" s="114"/>
      <c r="H135" s="115"/>
      <c r="I135" s="116"/>
      <c r="J135" s="117"/>
      <c r="K135" s="118" t="s">
        <v>125</v>
      </c>
      <c r="L135" s="119">
        <f>L136+L138+L140</f>
        <v>12377623983</v>
      </c>
      <c r="M135" s="119">
        <f t="shared" ref="M135:W135" si="49">M136+M138+M140</f>
        <v>0</v>
      </c>
      <c r="N135" s="119">
        <f t="shared" si="49"/>
        <v>0</v>
      </c>
      <c r="O135" s="119">
        <f t="shared" si="49"/>
        <v>0</v>
      </c>
      <c r="P135" s="119">
        <f t="shared" si="49"/>
        <v>0</v>
      </c>
      <c r="Q135" s="119">
        <f t="shared" si="49"/>
        <v>12377623983</v>
      </c>
      <c r="R135" s="119">
        <f>R136+R138+R140</f>
        <v>0</v>
      </c>
      <c r="S135" s="119">
        <f t="shared" si="49"/>
        <v>11160082088.65</v>
      </c>
      <c r="T135" s="119">
        <f t="shared" si="49"/>
        <v>10159907181.65</v>
      </c>
      <c r="U135" s="119">
        <f t="shared" si="49"/>
        <v>6470451990.7299995</v>
      </c>
      <c r="V135" s="119">
        <f t="shared" si="49"/>
        <v>6470451990.7299995</v>
      </c>
      <c r="W135" s="119">
        <f t="shared" si="49"/>
        <v>6470451990.7299995</v>
      </c>
      <c r="X135" s="120">
        <f t="shared" si="30"/>
        <v>0.82082855284698297</v>
      </c>
      <c r="Y135" s="110"/>
    </row>
    <row r="136" spans="1:25" s="111" customFormat="1" ht="41.25" x14ac:dyDescent="0.2">
      <c r="A136" s="112" t="s">
        <v>120</v>
      </c>
      <c r="B136" s="113" t="s">
        <v>204</v>
      </c>
      <c r="C136" s="113" t="s">
        <v>124</v>
      </c>
      <c r="D136" s="113" t="s">
        <v>206</v>
      </c>
      <c r="E136" s="114"/>
      <c r="F136" s="114"/>
      <c r="G136" s="114"/>
      <c r="H136" s="115"/>
      <c r="I136" s="116"/>
      <c r="J136" s="117"/>
      <c r="K136" s="121" t="s">
        <v>207</v>
      </c>
      <c r="L136" s="119">
        <f>SUM(L137)</f>
        <v>3000000000</v>
      </c>
      <c r="M136" s="119">
        <f t="shared" ref="M136:W136" si="50">SUM(M137)</f>
        <v>0</v>
      </c>
      <c r="N136" s="119">
        <f t="shared" si="50"/>
        <v>0</v>
      </c>
      <c r="O136" s="119">
        <f t="shared" si="50"/>
        <v>0</v>
      </c>
      <c r="P136" s="119">
        <f t="shared" si="50"/>
        <v>0</v>
      </c>
      <c r="Q136" s="119">
        <f t="shared" si="50"/>
        <v>3000000000</v>
      </c>
      <c r="R136" s="119">
        <f>SUM(R137)</f>
        <v>0</v>
      </c>
      <c r="S136" s="119">
        <f t="shared" si="50"/>
        <v>2700573310.5300002</v>
      </c>
      <c r="T136" s="119">
        <f t="shared" si="50"/>
        <v>2235222082.5300002</v>
      </c>
      <c r="U136" s="119">
        <f t="shared" si="50"/>
        <v>1396936239.23</v>
      </c>
      <c r="V136" s="119">
        <f t="shared" si="50"/>
        <v>1396936239.23</v>
      </c>
      <c r="W136" s="119">
        <f t="shared" si="50"/>
        <v>1396936239.23</v>
      </c>
      <c r="X136" s="120">
        <f t="shared" si="30"/>
        <v>0.74507402751000007</v>
      </c>
      <c r="Y136" s="110"/>
    </row>
    <row r="137" spans="1:25" s="232" customFormat="1" x14ac:dyDescent="0.25">
      <c r="A137" s="134" t="s">
        <v>120</v>
      </c>
      <c r="B137" s="135" t="s">
        <v>204</v>
      </c>
      <c r="C137" s="135" t="s">
        <v>124</v>
      </c>
      <c r="D137" s="135" t="s">
        <v>206</v>
      </c>
      <c r="E137" s="136" t="s">
        <v>128</v>
      </c>
      <c r="F137" s="136" t="s">
        <v>208</v>
      </c>
      <c r="G137" s="136"/>
      <c r="H137" s="137">
        <v>11</v>
      </c>
      <c r="I137" s="138" t="s">
        <v>41</v>
      </c>
      <c r="J137" s="139" t="s">
        <v>42</v>
      </c>
      <c r="K137" s="220" t="s">
        <v>209</v>
      </c>
      <c r="L137" s="141">
        <v>3000000000</v>
      </c>
      <c r="M137" s="141"/>
      <c r="N137" s="141"/>
      <c r="O137" s="141"/>
      <c r="P137" s="141"/>
      <c r="Q137" s="141">
        <f>L137-M137+N137-O137+P137</f>
        <v>3000000000</v>
      </c>
      <c r="R137" s="141"/>
      <c r="S137" s="141">
        <v>2700573310.5300002</v>
      </c>
      <c r="T137" s="141">
        <v>2235222082.5300002</v>
      </c>
      <c r="U137" s="141">
        <v>1396936239.23</v>
      </c>
      <c r="V137" s="141">
        <v>1396936239.23</v>
      </c>
      <c r="W137" s="141">
        <v>1396936239.23</v>
      </c>
      <c r="X137" s="153">
        <f t="shared" si="30"/>
        <v>0.74507402751000007</v>
      </c>
      <c r="Y137" s="231"/>
    </row>
    <row r="138" spans="1:25" s="111" customFormat="1" ht="16.5" x14ac:dyDescent="0.2">
      <c r="A138" s="112" t="s">
        <v>120</v>
      </c>
      <c r="B138" s="113" t="s">
        <v>204</v>
      </c>
      <c r="C138" s="113" t="s">
        <v>124</v>
      </c>
      <c r="D138" s="113" t="s">
        <v>126</v>
      </c>
      <c r="E138" s="114"/>
      <c r="F138" s="114"/>
      <c r="G138" s="114"/>
      <c r="H138" s="115"/>
      <c r="I138" s="116"/>
      <c r="J138" s="117"/>
      <c r="K138" s="121" t="s">
        <v>210</v>
      </c>
      <c r="L138" s="119">
        <f>SUM(L139)</f>
        <v>5000000000</v>
      </c>
      <c r="M138" s="119">
        <f t="shared" ref="M138:W138" si="51">SUM(M139)</f>
        <v>0</v>
      </c>
      <c r="N138" s="119">
        <f t="shared" si="51"/>
        <v>0</v>
      </c>
      <c r="O138" s="119">
        <f t="shared" si="51"/>
        <v>0</v>
      </c>
      <c r="P138" s="119">
        <f t="shared" si="51"/>
        <v>0</v>
      </c>
      <c r="Q138" s="119">
        <f t="shared" si="51"/>
        <v>5000000000</v>
      </c>
      <c r="R138" s="119">
        <f>SUM(R139)</f>
        <v>0</v>
      </c>
      <c r="S138" s="119">
        <f t="shared" si="51"/>
        <v>4304677806.1199999</v>
      </c>
      <c r="T138" s="119">
        <f t="shared" si="51"/>
        <v>3906134128.1199999</v>
      </c>
      <c r="U138" s="119">
        <f t="shared" si="51"/>
        <v>2498285895.8099999</v>
      </c>
      <c r="V138" s="119">
        <f t="shared" si="51"/>
        <v>2498285895.8099999</v>
      </c>
      <c r="W138" s="119">
        <f t="shared" si="51"/>
        <v>2498285895.8099999</v>
      </c>
      <c r="X138" s="120">
        <f t="shared" si="30"/>
        <v>0.78122682562400003</v>
      </c>
      <c r="Y138" s="110"/>
    </row>
    <row r="139" spans="1:25" s="143" customFormat="1" x14ac:dyDescent="0.2">
      <c r="A139" s="134" t="s">
        <v>120</v>
      </c>
      <c r="B139" s="135" t="s">
        <v>204</v>
      </c>
      <c r="C139" s="135" t="s">
        <v>124</v>
      </c>
      <c r="D139" s="135" t="s">
        <v>126</v>
      </c>
      <c r="E139" s="136" t="s">
        <v>128</v>
      </c>
      <c r="F139" s="136" t="s">
        <v>211</v>
      </c>
      <c r="G139" s="136"/>
      <c r="H139" s="137">
        <v>11</v>
      </c>
      <c r="I139" s="138" t="s">
        <v>41</v>
      </c>
      <c r="J139" s="139" t="s">
        <v>42</v>
      </c>
      <c r="K139" s="211" t="s">
        <v>212</v>
      </c>
      <c r="L139" s="141">
        <v>5000000000</v>
      </c>
      <c r="M139" s="141"/>
      <c r="N139" s="141"/>
      <c r="O139" s="141"/>
      <c r="P139" s="141"/>
      <c r="Q139" s="141">
        <f>L139-M139+N139-O139+P139</f>
        <v>5000000000</v>
      </c>
      <c r="R139" s="141"/>
      <c r="S139" s="141">
        <v>4304677806.1199999</v>
      </c>
      <c r="T139" s="141">
        <v>3906134128.1199999</v>
      </c>
      <c r="U139" s="141">
        <v>2498285895.8099999</v>
      </c>
      <c r="V139" s="141">
        <v>2498285895.8099999</v>
      </c>
      <c r="W139" s="141">
        <v>2498285895.8099999</v>
      </c>
      <c r="X139" s="153">
        <f t="shared" si="30"/>
        <v>0.78122682562400003</v>
      </c>
      <c r="Y139" s="142"/>
    </row>
    <row r="140" spans="1:25" s="111" customFormat="1" ht="16.5" x14ac:dyDescent="0.2">
      <c r="A140" s="112" t="s">
        <v>120</v>
      </c>
      <c r="B140" s="113" t="s">
        <v>204</v>
      </c>
      <c r="C140" s="113" t="s">
        <v>124</v>
      </c>
      <c r="D140" s="113" t="s">
        <v>131</v>
      </c>
      <c r="E140" s="114"/>
      <c r="F140" s="114"/>
      <c r="G140" s="114"/>
      <c r="H140" s="115"/>
      <c r="I140" s="116"/>
      <c r="J140" s="117"/>
      <c r="K140" s="121" t="s">
        <v>213</v>
      </c>
      <c r="L140" s="119">
        <f>SUM(L141:L142)</f>
        <v>4377623983</v>
      </c>
      <c r="M140" s="119">
        <f t="shared" ref="M140:W140" si="52">SUM(M141:M142)</f>
        <v>0</v>
      </c>
      <c r="N140" s="119">
        <f t="shared" si="52"/>
        <v>0</v>
      </c>
      <c r="O140" s="119">
        <f t="shared" si="52"/>
        <v>0</v>
      </c>
      <c r="P140" s="119">
        <f t="shared" si="52"/>
        <v>0</v>
      </c>
      <c r="Q140" s="119">
        <f t="shared" si="52"/>
        <v>4377623983</v>
      </c>
      <c r="R140" s="119">
        <f>SUM(R141:R142)</f>
        <v>0</v>
      </c>
      <c r="S140" s="119">
        <f t="shared" si="52"/>
        <v>4154830972</v>
      </c>
      <c r="T140" s="119">
        <f t="shared" si="52"/>
        <v>4018550971</v>
      </c>
      <c r="U140" s="119">
        <f t="shared" si="52"/>
        <v>2575229855.6900001</v>
      </c>
      <c r="V140" s="119">
        <f t="shared" si="52"/>
        <v>2575229855.6900001</v>
      </c>
      <c r="W140" s="119">
        <f t="shared" si="52"/>
        <v>2575229855.6900001</v>
      </c>
      <c r="X140" s="120">
        <f t="shared" si="30"/>
        <v>0.91797536439986194</v>
      </c>
      <c r="Y140" s="110"/>
    </row>
    <row r="141" spans="1:25" s="143" customFormat="1" x14ac:dyDescent="0.2">
      <c r="A141" s="134" t="s">
        <v>120</v>
      </c>
      <c r="B141" s="135" t="s">
        <v>204</v>
      </c>
      <c r="C141" s="135" t="s">
        <v>124</v>
      </c>
      <c r="D141" s="135" t="s">
        <v>131</v>
      </c>
      <c r="E141" s="136" t="s">
        <v>128</v>
      </c>
      <c r="F141" s="136" t="s">
        <v>214</v>
      </c>
      <c r="G141" s="136"/>
      <c r="H141" s="137">
        <v>11</v>
      </c>
      <c r="I141" s="138" t="s">
        <v>41</v>
      </c>
      <c r="J141" s="139" t="s">
        <v>42</v>
      </c>
      <c r="K141" s="211" t="s">
        <v>215</v>
      </c>
      <c r="L141" s="141">
        <v>2727623983</v>
      </c>
      <c r="M141" s="141"/>
      <c r="N141" s="141"/>
      <c r="O141" s="141"/>
      <c r="P141" s="141"/>
      <c r="Q141" s="141">
        <f>L141-M141+N141-O141+P141</f>
        <v>2727623983</v>
      </c>
      <c r="R141" s="141"/>
      <c r="S141" s="141">
        <v>2581589522</v>
      </c>
      <c r="T141" s="141">
        <v>2525803949</v>
      </c>
      <c r="U141" s="141">
        <v>1594074085</v>
      </c>
      <c r="V141" s="141">
        <v>1594074085</v>
      </c>
      <c r="W141" s="141">
        <v>1594074085</v>
      </c>
      <c r="X141" s="153">
        <f t="shared" si="30"/>
        <v>0.92600885046551518</v>
      </c>
      <c r="Y141" s="142"/>
    </row>
    <row r="142" spans="1:25" s="143" customFormat="1" ht="17.25" thickBot="1" x14ac:dyDescent="0.25">
      <c r="A142" s="233" t="s">
        <v>120</v>
      </c>
      <c r="B142" s="234" t="s">
        <v>204</v>
      </c>
      <c r="C142" s="234" t="s">
        <v>124</v>
      </c>
      <c r="D142" s="234" t="s">
        <v>131</v>
      </c>
      <c r="E142" s="235" t="s">
        <v>128</v>
      </c>
      <c r="F142" s="235" t="s">
        <v>216</v>
      </c>
      <c r="G142" s="235"/>
      <c r="H142" s="236">
        <v>11</v>
      </c>
      <c r="I142" s="237" t="s">
        <v>41</v>
      </c>
      <c r="J142" s="238" t="s">
        <v>42</v>
      </c>
      <c r="K142" s="239" t="s">
        <v>217</v>
      </c>
      <c r="L142" s="240">
        <v>1650000000</v>
      </c>
      <c r="M142" s="240"/>
      <c r="N142" s="240"/>
      <c r="O142" s="240"/>
      <c r="P142" s="240"/>
      <c r="Q142" s="240">
        <f>L142-M142+N142-O142+P142</f>
        <v>1650000000</v>
      </c>
      <c r="R142" s="240"/>
      <c r="S142" s="240">
        <v>1573241450</v>
      </c>
      <c r="T142" s="240">
        <v>1492747022</v>
      </c>
      <c r="U142" s="240">
        <v>981155770.69000006</v>
      </c>
      <c r="V142" s="240">
        <v>981155770.69000006</v>
      </c>
      <c r="W142" s="240">
        <v>981155770.69000006</v>
      </c>
      <c r="X142" s="241">
        <f t="shared" si="30"/>
        <v>0.90469516484848489</v>
      </c>
      <c r="Y142" s="142"/>
    </row>
    <row r="143" spans="1:25" ht="13.5" thickTop="1" x14ac:dyDescent="0.2">
      <c r="K143" s="242"/>
      <c r="T143" s="245"/>
    </row>
    <row r="144" spans="1:25" x14ac:dyDescent="0.2">
      <c r="A144" s="51" t="s">
        <v>218</v>
      </c>
      <c r="B144" s="248"/>
      <c r="C144" s="248"/>
      <c r="E144" s="248"/>
      <c r="H144" s="249"/>
      <c r="I144" s="248"/>
      <c r="J144" s="248"/>
      <c r="K144" s="250"/>
      <c r="L144" s="251"/>
      <c r="M144" s="251"/>
      <c r="N144" s="251"/>
      <c r="O144" s="251"/>
      <c r="P144" s="251"/>
      <c r="Q144" s="251"/>
      <c r="R144" s="251"/>
      <c r="T144" s="251"/>
      <c r="U144" s="251"/>
      <c r="V144" s="251"/>
      <c r="W144" s="251"/>
      <c r="X144" s="252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2021-11-01T21:55:51Z</dcterms:created>
  <dcterms:modified xsi:type="dcterms:W3CDTF">2021-11-01T22:01:08Z</dcterms:modified>
</cp:coreProperties>
</file>